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sheetId="4" r:id="rId1"/>
  </sheets>
  <definedNames>
    <definedName name="_xlnm._FilterDatabase" localSheetId="0" hidden="1">'дод 3'!$E$1:$Q$189</definedName>
    <definedName name="_xlnm.Print_Titles" localSheetId="0">'дод 3'!$6:$10</definedName>
    <definedName name="_xlnm.Print_Area" localSheetId="0">'дод 3'!$A$1:$Q$188</definedName>
  </definedNames>
  <calcPr calcId="125725"/>
</workbook>
</file>

<file path=xl/calcChain.xml><?xml version="1.0" encoding="utf-8"?>
<calcChain xmlns="http://schemas.openxmlformats.org/spreadsheetml/2006/main">
  <c r="F152" i="4"/>
  <c r="F153"/>
  <c r="F154"/>
  <c r="F155"/>
  <c r="F156"/>
  <c r="F184"/>
  <c r="M157"/>
  <c r="M165"/>
  <c r="P115"/>
  <c r="L115"/>
  <c r="P36"/>
  <c r="L36"/>
  <c r="P16"/>
  <c r="L16"/>
  <c r="P42"/>
  <c r="L151"/>
  <c r="P151" s="1"/>
  <c r="K151" s="1"/>
  <c r="P30"/>
  <c r="L30"/>
  <c r="L141"/>
  <c r="P141" s="1"/>
  <c r="K141" s="1"/>
  <c r="P160"/>
  <c r="L160"/>
  <c r="P128"/>
  <c r="L128"/>
  <c r="P53"/>
  <c r="L53"/>
  <c r="P59"/>
  <c r="L59"/>
  <c r="L144"/>
  <c r="L106"/>
  <c r="K103"/>
  <c r="K104"/>
  <c r="K106"/>
  <c r="Q106" s="1"/>
  <c r="P15"/>
  <c r="L15"/>
  <c r="P34"/>
  <c r="L34"/>
  <c r="P35"/>
  <c r="L35"/>
  <c r="L150"/>
  <c r="K139"/>
  <c r="Q139"/>
  <c r="K137"/>
  <c r="L118"/>
  <c r="P130"/>
  <c r="L130"/>
  <c r="L61"/>
  <c r="P61"/>
  <c r="P156"/>
  <c r="L156"/>
  <c r="K156"/>
  <c r="Q156" s="1"/>
  <c r="F166"/>
  <c r="Q166"/>
  <c r="P150"/>
  <c r="P144"/>
  <c r="K166"/>
  <c r="H52"/>
  <c r="G52"/>
  <c r="H111"/>
  <c r="G111"/>
  <c r="G144"/>
  <c r="F144" s="1"/>
  <c r="Q144" s="1"/>
  <c r="G16"/>
  <c r="G36"/>
  <c r="G42"/>
  <c r="G13"/>
  <c r="G115"/>
  <c r="G30"/>
  <c r="F30" s="1"/>
  <c r="Q30" s="1"/>
  <c r="G43"/>
  <c r="J143"/>
  <c r="J141"/>
  <c r="H51"/>
  <c r="G51"/>
  <c r="H55"/>
  <c r="G55"/>
  <c r="F182"/>
  <c r="G15"/>
  <c r="F161"/>
  <c r="F46"/>
  <c r="G128"/>
  <c r="G59"/>
  <c r="G20"/>
  <c r="G53"/>
  <c r="G58"/>
  <c r="G49"/>
  <c r="G17"/>
  <c r="G145"/>
  <c r="G97"/>
  <c r="G118"/>
  <c r="G113"/>
  <c r="G116"/>
  <c r="G123"/>
  <c r="G126"/>
  <c r="G125"/>
  <c r="G127"/>
  <c r="H117"/>
  <c r="G117"/>
  <c r="H113"/>
  <c r="H116"/>
  <c r="H115"/>
  <c r="H114"/>
  <c r="G114"/>
  <c r="H169"/>
  <c r="G169"/>
  <c r="H123"/>
  <c r="H122" s="1"/>
  <c r="H121" s="1"/>
  <c r="H49"/>
  <c r="H133"/>
  <c r="G133"/>
  <c r="H69"/>
  <c r="G69"/>
  <c r="H177"/>
  <c r="H176" s="1"/>
  <c r="H175" s="1"/>
  <c r="G177"/>
  <c r="G22"/>
  <c r="F22" s="1"/>
  <c r="Q22" s="1"/>
  <c r="H58"/>
  <c r="F16"/>
  <c r="Q16" s="1"/>
  <c r="K16"/>
  <c r="F95"/>
  <c r="Q95" s="1"/>
  <c r="F87"/>
  <c r="Q87" s="1"/>
  <c r="D68"/>
  <c r="K34"/>
  <c r="P17"/>
  <c r="P12" s="1"/>
  <c r="P11" s="1"/>
  <c r="L17"/>
  <c r="F34"/>
  <c r="L147"/>
  <c r="F13"/>
  <c r="P65"/>
  <c r="P48"/>
  <c r="P47" s="1"/>
  <c r="L65"/>
  <c r="L48" s="1"/>
  <c r="L47" s="1"/>
  <c r="F52"/>
  <c r="Q52"/>
  <c r="G18"/>
  <c r="F18" s="1"/>
  <c r="Q18" s="1"/>
  <c r="K30"/>
  <c r="H128"/>
  <c r="F126"/>
  <c r="F125"/>
  <c r="I169"/>
  <c r="I168"/>
  <c r="I167" s="1"/>
  <c r="H110"/>
  <c r="H109" s="1"/>
  <c r="I110"/>
  <c r="I109" s="1"/>
  <c r="J110"/>
  <c r="J109"/>
  <c r="L110"/>
  <c r="L109"/>
  <c r="M110"/>
  <c r="M109"/>
  <c r="N110"/>
  <c r="O110"/>
  <c r="G31"/>
  <c r="F31"/>
  <c r="Q31" s="1"/>
  <c r="H12"/>
  <c r="H11" s="1"/>
  <c r="I12"/>
  <c r="I11" s="1"/>
  <c r="J12"/>
  <c r="J11" s="1"/>
  <c r="J186" s="1"/>
  <c r="M12"/>
  <c r="M11" s="1"/>
  <c r="M186" s="1"/>
  <c r="N12"/>
  <c r="O12"/>
  <c r="O11"/>
  <c r="I176"/>
  <c r="I175"/>
  <c r="J176"/>
  <c r="J175"/>
  <c r="L176"/>
  <c r="L175"/>
  <c r="M176"/>
  <c r="N176"/>
  <c r="N175" s="1"/>
  <c r="O176"/>
  <c r="O175" s="1"/>
  <c r="P176"/>
  <c r="P175"/>
  <c r="K177"/>
  <c r="K179"/>
  <c r="F179"/>
  <c r="Q179" s="1"/>
  <c r="G178"/>
  <c r="G176"/>
  <c r="G175" s="1"/>
  <c r="H168"/>
  <c r="H167" s="1"/>
  <c r="J168"/>
  <c r="J167" s="1"/>
  <c r="L168"/>
  <c r="M168"/>
  <c r="M167"/>
  <c r="N168"/>
  <c r="N167"/>
  <c r="O168"/>
  <c r="K173"/>
  <c r="F173"/>
  <c r="Q173"/>
  <c r="G170"/>
  <c r="F170"/>
  <c r="K164"/>
  <c r="F164"/>
  <c r="K160"/>
  <c r="Q160"/>
  <c r="F160"/>
  <c r="K158"/>
  <c r="F158"/>
  <c r="Q158" s="1"/>
  <c r="L132"/>
  <c r="L131"/>
  <c r="M132"/>
  <c r="M131"/>
  <c r="N132"/>
  <c r="N131"/>
  <c r="O132"/>
  <c r="O131"/>
  <c r="F141"/>
  <c r="Q141" s="1"/>
  <c r="F136"/>
  <c r="G134"/>
  <c r="I122"/>
  <c r="I121" s="1"/>
  <c r="J122"/>
  <c r="L122"/>
  <c r="L121" s="1"/>
  <c r="M122"/>
  <c r="M121" s="1"/>
  <c r="N122"/>
  <c r="N121" s="1"/>
  <c r="O122"/>
  <c r="O121" s="1"/>
  <c r="F119"/>
  <c r="K130"/>
  <c r="F130"/>
  <c r="Q130" s="1"/>
  <c r="G124"/>
  <c r="K33"/>
  <c r="K35"/>
  <c r="K36"/>
  <c r="K37"/>
  <c r="K38"/>
  <c r="K39"/>
  <c r="K40"/>
  <c r="K41"/>
  <c r="K42"/>
  <c r="K43"/>
  <c r="K44"/>
  <c r="K45"/>
  <c r="K14"/>
  <c r="K15"/>
  <c r="K17"/>
  <c r="K18"/>
  <c r="K19"/>
  <c r="K20"/>
  <c r="K21"/>
  <c r="K22"/>
  <c r="K23"/>
  <c r="K24"/>
  <c r="Q24" s="1"/>
  <c r="K25"/>
  <c r="K26"/>
  <c r="K27"/>
  <c r="K28"/>
  <c r="Q28" s="1"/>
  <c r="K29"/>
  <c r="K31"/>
  <c r="K32"/>
  <c r="K13"/>
  <c r="K12" s="1"/>
  <c r="K11" s="1"/>
  <c r="K64"/>
  <c r="K107"/>
  <c r="K120"/>
  <c r="F120"/>
  <c r="Q120" s="1"/>
  <c r="G112"/>
  <c r="F107"/>
  <c r="Q107" s="1"/>
  <c r="G70"/>
  <c r="F70" s="1"/>
  <c r="Q70" s="1"/>
  <c r="G79"/>
  <c r="F64"/>
  <c r="Q64"/>
  <c r="M48"/>
  <c r="N48"/>
  <c r="N47" s="1"/>
  <c r="O48"/>
  <c r="O47" s="1"/>
  <c r="I48"/>
  <c r="I47" s="1"/>
  <c r="H48"/>
  <c r="H47" s="1"/>
  <c r="G50"/>
  <c r="G48" s="1"/>
  <c r="F43"/>
  <c r="Q43" s="1"/>
  <c r="G14"/>
  <c r="G12" s="1"/>
  <c r="G11" s="1"/>
  <c r="G25"/>
  <c r="F25"/>
  <c r="Q25" s="1"/>
  <c r="G29"/>
  <c r="F29" s="1"/>
  <c r="Q29" s="1"/>
  <c r="F36"/>
  <c r="F35"/>
  <c r="Q35" s="1"/>
  <c r="F33"/>
  <c r="Q33" s="1"/>
  <c r="F37"/>
  <c r="Q37" s="1"/>
  <c r="F38"/>
  <c r="F39"/>
  <c r="Q39" s="1"/>
  <c r="F40"/>
  <c r="F41"/>
  <c r="K51"/>
  <c r="K52"/>
  <c r="K53"/>
  <c r="K54"/>
  <c r="K57"/>
  <c r="K58"/>
  <c r="K59"/>
  <c r="K60"/>
  <c r="K61"/>
  <c r="K62"/>
  <c r="K63"/>
  <c r="J48"/>
  <c r="F15"/>
  <c r="Q15" s="1"/>
  <c r="F17"/>
  <c r="F19"/>
  <c r="Q19"/>
  <c r="F20"/>
  <c r="F21"/>
  <c r="Q21" s="1"/>
  <c r="F23"/>
  <c r="Q23" s="1"/>
  <c r="F24"/>
  <c r="F26"/>
  <c r="Q26"/>
  <c r="F27"/>
  <c r="Q27"/>
  <c r="F28"/>
  <c r="F32"/>
  <c r="Q32" s="1"/>
  <c r="F42"/>
  <c r="Q42" s="1"/>
  <c r="F44"/>
  <c r="Q44" s="1"/>
  <c r="F45"/>
  <c r="F118"/>
  <c r="F111"/>
  <c r="F112"/>
  <c r="Q112" s="1"/>
  <c r="F113"/>
  <c r="F114"/>
  <c r="F115"/>
  <c r="F116"/>
  <c r="Q116" s="1"/>
  <c r="F117"/>
  <c r="F133"/>
  <c r="F134"/>
  <c r="F135"/>
  <c r="F137"/>
  <c r="Q137" s="1"/>
  <c r="F138"/>
  <c r="Q138" s="1"/>
  <c r="F140"/>
  <c r="F142"/>
  <c r="Q142" s="1"/>
  <c r="F143"/>
  <c r="F145"/>
  <c r="F146"/>
  <c r="F147"/>
  <c r="F148"/>
  <c r="F149"/>
  <c r="F150"/>
  <c r="F151"/>
  <c r="Q151" s="1"/>
  <c r="Q153"/>
  <c r="Q155"/>
  <c r="F157"/>
  <c r="F159"/>
  <c r="Q159" s="1"/>
  <c r="F162"/>
  <c r="F163"/>
  <c r="F165"/>
  <c r="F123"/>
  <c r="F128"/>
  <c r="Q128" s="1"/>
  <c r="K128"/>
  <c r="F127"/>
  <c r="Q127"/>
  <c r="F124"/>
  <c r="F185"/>
  <c r="F183"/>
  <c r="F181"/>
  <c r="Q181" s="1"/>
  <c r="F180"/>
  <c r="Q180"/>
  <c r="J79"/>
  <c r="J68"/>
  <c r="J67" s="1"/>
  <c r="F169"/>
  <c r="F171"/>
  <c r="Q171"/>
  <c r="F172"/>
  <c r="F174"/>
  <c r="P123"/>
  <c r="P169"/>
  <c r="P168" s="1"/>
  <c r="P167" s="1"/>
  <c r="P152"/>
  <c r="K152" s="1"/>
  <c r="P157"/>
  <c r="K157"/>
  <c r="Q157" s="1"/>
  <c r="F76"/>
  <c r="Q76" s="1"/>
  <c r="K76"/>
  <c r="F78"/>
  <c r="Q78"/>
  <c r="K78"/>
  <c r="F51"/>
  <c r="Q51" s="1"/>
  <c r="P129"/>
  <c r="K129" s="1"/>
  <c r="L167"/>
  <c r="K140"/>
  <c r="Q140"/>
  <c r="K150"/>
  <c r="Q150"/>
  <c r="P118"/>
  <c r="K118"/>
  <c r="P174"/>
  <c r="K174"/>
  <c r="Q174" s="1"/>
  <c r="P172"/>
  <c r="K172"/>
  <c r="Q172" s="1"/>
  <c r="K170"/>
  <c r="Q170" s="1"/>
  <c r="K171"/>
  <c r="F58"/>
  <c r="K70"/>
  <c r="F50"/>
  <c r="K50"/>
  <c r="K66"/>
  <c r="Q66" s="1"/>
  <c r="F66"/>
  <c r="P162"/>
  <c r="K162" s="1"/>
  <c r="Q162" s="1"/>
  <c r="K182"/>
  <c r="Q182"/>
  <c r="O167"/>
  <c r="D168"/>
  <c r="P105"/>
  <c r="K105" s="1"/>
  <c r="F105"/>
  <c r="F71"/>
  <c r="Q71" s="1"/>
  <c r="K71"/>
  <c r="Q60"/>
  <c r="K127"/>
  <c r="F59"/>
  <c r="Q59" s="1"/>
  <c r="P147"/>
  <c r="K147" s="1"/>
  <c r="Q147" s="1"/>
  <c r="P154"/>
  <c r="K154" s="1"/>
  <c r="P125"/>
  <c r="K125" s="1"/>
  <c r="K122" s="1"/>
  <c r="P111"/>
  <c r="P110" s="1"/>
  <c r="P109" s="1"/>
  <c r="K145"/>
  <c r="F77"/>
  <c r="Q77" s="1"/>
  <c r="K77"/>
  <c r="F101"/>
  <c r="K101"/>
  <c r="F53"/>
  <c r="Q53" s="1"/>
  <c r="F97"/>
  <c r="K97"/>
  <c r="K115"/>
  <c r="Q115" s="1"/>
  <c r="F55"/>
  <c r="Q55"/>
  <c r="F49"/>
  <c r="K49"/>
  <c r="Q49" s="1"/>
  <c r="F86"/>
  <c r="K86"/>
  <c r="F79"/>
  <c r="F72"/>
  <c r="Q72" s="1"/>
  <c r="K72"/>
  <c r="P149"/>
  <c r="K149" s="1"/>
  <c r="Q149" s="1"/>
  <c r="K144"/>
  <c r="F62"/>
  <c r="P148"/>
  <c r="K148" s="1"/>
  <c r="Q148" s="1"/>
  <c r="P146"/>
  <c r="K146"/>
  <c r="Q146" s="1"/>
  <c r="P138"/>
  <c r="K138" s="1"/>
  <c r="J132"/>
  <c r="J131"/>
  <c r="K165"/>
  <c r="P153"/>
  <c r="K153" s="1"/>
  <c r="G89"/>
  <c r="F89"/>
  <c r="Q89" s="1"/>
  <c r="K89"/>
  <c r="P155"/>
  <c r="K155" s="1"/>
  <c r="P143"/>
  <c r="K143" s="1"/>
  <c r="Q143" s="1"/>
  <c r="I132"/>
  <c r="I131" s="1"/>
  <c r="F63"/>
  <c r="Q63" s="1"/>
  <c r="J47"/>
  <c r="H132"/>
  <c r="H131" s="1"/>
  <c r="K181"/>
  <c r="K176" s="1"/>
  <c r="K175" s="1"/>
  <c r="K108"/>
  <c r="F108"/>
  <c r="Q108" s="1"/>
  <c r="K135"/>
  <c r="K102"/>
  <c r="F102"/>
  <c r="Q102" s="1"/>
  <c r="M47"/>
  <c r="M79"/>
  <c r="N79"/>
  <c r="N68" s="1"/>
  <c r="N67" s="1"/>
  <c r="O79"/>
  <c r="O68"/>
  <c r="O67" s="1"/>
  <c r="P79"/>
  <c r="P68" s="1"/>
  <c r="P67" s="1"/>
  <c r="L79"/>
  <c r="L68" s="1"/>
  <c r="L67" s="1"/>
  <c r="H79"/>
  <c r="H68" s="1"/>
  <c r="H67" s="1"/>
  <c r="I79"/>
  <c r="I68"/>
  <c r="I67" s="1"/>
  <c r="F100"/>
  <c r="K100"/>
  <c r="P116"/>
  <c r="K116" s="1"/>
  <c r="F98"/>
  <c r="Q98"/>
  <c r="K98"/>
  <c r="F99"/>
  <c r="F94"/>
  <c r="Q124"/>
  <c r="J121"/>
  <c r="F65"/>
  <c r="Q65" s="1"/>
  <c r="K183"/>
  <c r="Q183"/>
  <c r="F96"/>
  <c r="F129"/>
  <c r="Q129" s="1"/>
  <c r="F104"/>
  <c r="Q104" s="1"/>
  <c r="K185"/>
  <c r="Q185"/>
  <c r="K178"/>
  <c r="D176"/>
  <c r="K163"/>
  <c r="Q163"/>
  <c r="K159"/>
  <c r="K142"/>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32" s="1"/>
  <c r="P131" s="1"/>
  <c r="P119"/>
  <c r="K119" s="1"/>
  <c r="Q119" s="1"/>
  <c r="Q94"/>
  <c r="M68"/>
  <c r="M67"/>
  <c r="G110"/>
  <c r="G109" s="1"/>
  <c r="Q17"/>
  <c r="Q86"/>
  <c r="Q100"/>
  <c r="Q50"/>
  <c r="Q101"/>
  <c r="Q97"/>
  <c r="M175"/>
  <c r="F177"/>
  <c r="Q177"/>
  <c r="F178"/>
  <c r="Q178" s="1"/>
  <c r="G168"/>
  <c r="G167" s="1"/>
  <c r="Q135"/>
  <c r="F168"/>
  <c r="F167" s="1"/>
  <c r="Q40"/>
  <c r="G122"/>
  <c r="G121" s="1"/>
  <c r="Q164"/>
  <c r="Q73"/>
  <c r="Q62"/>
  <c r="Q58"/>
  <c r="Q45"/>
  <c r="Q20"/>
  <c r="Q38"/>
  <c r="Q36"/>
  <c r="Q34"/>
  <c r="P122"/>
  <c r="P121" s="1"/>
  <c r="Q118"/>
  <c r="K65"/>
  <c r="K48"/>
  <c r="K47" s="1"/>
  <c r="Q114"/>
  <c r="Q123"/>
  <c r="Q99"/>
  <c r="Q165"/>
  <c r="Q145"/>
  <c r="Q41"/>
  <c r="G132"/>
  <c r="G131" s="1"/>
  <c r="L12"/>
  <c r="L11" s="1"/>
  <c r="F122"/>
  <c r="F121" s="1"/>
  <c r="Q13"/>
  <c r="F132" l="1"/>
  <c r="F131" s="1"/>
  <c r="K121"/>
  <c r="Q122"/>
  <c r="L186"/>
  <c r="Q105"/>
  <c r="Q152"/>
  <c r="P186"/>
  <c r="N186"/>
  <c r="H186"/>
  <c r="G47"/>
  <c r="F48"/>
  <c r="O186"/>
  <c r="Q121"/>
  <c r="K68"/>
  <c r="K67" s="1"/>
  <c r="Q154"/>
  <c r="I186"/>
  <c r="Q125"/>
  <c r="K111"/>
  <c r="K169"/>
  <c r="G68"/>
  <c r="F176"/>
  <c r="Q80"/>
  <c r="F14"/>
  <c r="Q14" s="1"/>
  <c r="F110"/>
  <c r="K136"/>
  <c r="Q136" s="1"/>
  <c r="G186" l="1"/>
  <c r="K110"/>
  <c r="K109" s="1"/>
  <c r="Q111"/>
  <c r="Q169"/>
  <c r="K168"/>
  <c r="K132"/>
  <c r="F109"/>
  <c r="Q48"/>
  <c r="F47"/>
  <c r="Q47" s="1"/>
  <c r="F68"/>
  <c r="G67"/>
  <c r="Q176"/>
  <c r="F175"/>
  <c r="Q175" s="1"/>
  <c r="F12"/>
  <c r="K167" l="1"/>
  <c r="Q167" s="1"/>
  <c r="Q168"/>
  <c r="K131"/>
  <c r="Q131" s="1"/>
  <c r="Q132"/>
  <c r="F11"/>
  <c r="Q12"/>
  <c r="F67"/>
  <c r="Q67" s="1"/>
  <c r="Q68"/>
  <c r="Q110"/>
  <c r="Q109" s="1"/>
  <c r="Q11" l="1"/>
  <c r="F186"/>
  <c r="Q186" s="1"/>
  <c r="K186"/>
</calcChain>
</file>

<file path=xl/sharedStrings.xml><?xml version="1.0" encoding="utf-8"?>
<sst xmlns="http://schemas.openxmlformats.org/spreadsheetml/2006/main" count="745" uniqueCount="517">
  <si>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</si>
  <si>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</si>
  <si>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</si>
  <si>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</si>
  <si>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</si>
  <si>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</si>
  <si>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</si>
  <si>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</si>
  <si>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</si>
  <si>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</si>
  <si>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</si>
  <si>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</si>
  <si>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</si>
  <si>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</si>
  <si>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</si>
  <si>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</si>
  <si>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</si>
  <si>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</si>
  <si>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</si>
  <si>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</si>
  <si>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</si>
  <si>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</si>
  <si>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</si>
  <si>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</si>
  <si>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</si>
  <si>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</si>
  <si>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</si>
  <si>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</si>
  <si>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</si>
  <si>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</si>
  <si>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</si>
  <si>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</si>
  <si>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</si>
  <si>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</si>
  <si>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</si>
  <si>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</si>
  <si>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</si>
  <si>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</si>
  <si>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</si>
  <si>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</si>
  <si>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</si>
  <si>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</si>
  <si>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</si>
  <si>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</si>
  <si>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</si>
  <si>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</si>
  <si>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</si>
  <si>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</si>
  <si>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</si>
  <si>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</si>
  <si>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</si>
  <si>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</si>
  <si>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</si>
  <si>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</si>
  <si>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</si>
  <si>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</si>
  <si>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</si>
  <si>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</si>
  <si>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</si>
  <si>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</si>
  <si>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</si>
  <si>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</si>
  <si>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</si>
  <si>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</si>
  <si>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</si>
  <si>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</si>
  <si>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</si>
  <si>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</si>
  <si>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</si>
  <si>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</si>
  <si>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</si>
  <si>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</si>
  <si>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</si>
  <si>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</si>
  <si>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</si>
  <si>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</si>
  <si>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</si>
  <si>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</si>
  <si>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</si>
  <si>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</si>
  <si>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</si>
  <si>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</si>
  <si>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</si>
  <si>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</si>
  <si>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</si>
  <si>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</si>
  <si>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</si>
  <si>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</si>
  <si>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</si>
  <si>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</si>
  <si>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</si>
  <si>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</si>
  <si>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</si>
  <si>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</si>
  <si>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</si>
  <si>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</si>
  <si>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</si>
  <si>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</si>
  <si>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</si>
  <si>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</si>
  <si>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</si>
  <si>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</si>
  <si>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</si>
  <si>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</si>
  <si>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</si>
  <si>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</si>
  <si>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</si>
  <si>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</si>
  <si>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</si>
  <si>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</si>
  <si>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</si>
  <si>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</si>
  <si>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</si>
  <si>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</si>
  <si>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</si>
  <si>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</si>
  <si>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</si>
  <si>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</si>
  <si>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</si>
  <si>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</si>
  <si>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</si>
  <si>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</si>
  <si>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</si>
  <si>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</si>
  <si>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</si>
  <si>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</si>
  <si>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</si>
  <si>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</si>
  <si>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</si>
  <si>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</si>
  <si>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</si>
  <si>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</si>
  <si>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</si>
  <si>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</si>
  <si>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</si>
  <si>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</si>
  <si>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</si>
  <si>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</si>
  <si>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</si>
  <si>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</si>
  <si>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</si>
  <si>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</si>
  <si>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</si>
  <si>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</si>
  <si>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</si>
  <si>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</si>
  <si>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</si>
  <si>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</si>
  <si>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</si>
  <si>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</si>
  <si>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</si>
  <si>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</si>
  <si>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</si>
  <si>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</si>
  <si>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</si>
  <si>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</si>
  <si>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</si>
  <si>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</si>
  <si>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</si>
  <si>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</si>
  <si>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</si>
  <si>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</si>
  <si>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</si>
  <si>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</si>
  <si>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</si>
  <si>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</si>
  <si>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</si>
  <si>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</si>
  <si>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</si>
  <si>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</si>
  <si>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</si>
  <si>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</si>
  <si>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</si>
  <si>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</si>
  <si>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</si>
  <si>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</si>
  <si>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</si>
  <si>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</si>
  <si>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</si>
  <si>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</si>
  <si>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</si>
  <si>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</si>
  <si>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</si>
  <si>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</si>
  <si>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</si>
  <si>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</si>
  <si>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</si>
  <si>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</si>
  <si>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</si>
  <si>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</si>
  <si>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</si>
  <si>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</si>
  <si>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</si>
  <si>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</si>
  <si>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</si>
  <si>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</si>
  <si>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</si>
  <si>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</si>
  <si>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</si>
  <si>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</si>
  <si>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</si>
  <si>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</si>
  <si>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</si>
  <si>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</si>
  <si>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</si>
  <si>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</si>
  <si>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</si>
  <si>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</si>
  <si>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</si>
  <si>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</si>
  <si>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</si>
  <si>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</si>
  <si>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</si>
  <si>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</si>
  <si>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</si>
  <si>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</si>
  <si>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</si>
  <si>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</si>
  <si>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</si>
  <si>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</si>
  <si>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</si>
  <si>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</si>
  <si>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</si>
  <si>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</si>
  <si>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</si>
  <si>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</si>
  <si>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</si>
  <si>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</si>
  <si>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</si>
  <si>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</si>
  <si>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</si>
  <si>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</si>
  <si>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</si>
  <si>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</si>
  <si>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</si>
  <si>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</si>
  <si>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</si>
  <si>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</si>
  <si>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</si>
  <si>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</si>
  <si>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</si>
  <si>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</si>
  <si>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</si>
  <si>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</si>
  <si>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</si>
  <si>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</si>
  <si>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</si>
  <si>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</si>
  <si>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</si>
  <si>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</si>
  <si>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</si>
  <si>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</si>
  <si>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</si>
  <si>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</si>
  <si>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</si>
  <si>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</si>
  <si>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</si>
  <si>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</si>
  <si>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</si>
  <si>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</si>
  <si>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</si>
  <si>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</si>
  <si>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</si>
  <si>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</si>
  <si>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</si>
  <si>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</si>
  <si>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</si>
  <si>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</si>
  <si>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</si>
  <si>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</si>
  <si>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</si>
  <si>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</si>
  <si>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</si>
  <si>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</si>
  <si>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</si>
  <si>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</si>
  <si>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</si>
  <si>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</si>
  <si>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</si>
  <si>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</si>
  <si>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</si>
  <si>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</si>
  <si>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</si>
  <si>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</si>
  <si>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</si>
  <si>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</si>
  <si>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</si>
  <si>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</si>
  <si>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</si>
  <si>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</si>
  <si>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</si>
  <si>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</si>
  <si>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</si>
  <si>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</si>
  <si>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</si>
  <si>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</si>
  <si>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</si>
  <si>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</si>
  <si>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</si>
  <si>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</si>
  <si>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</si>
  <si>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</si>
  <si>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</si>
  <si>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</si>
  <si>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</si>
  <si>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</si>
  <si>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</si>
  <si>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</si>
  <si>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</si>
  <si>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</si>
  <si>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</si>
  <si>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</si>
  <si>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</si>
  <si>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</si>
  <si>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</si>
  <si>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</si>
  <si>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</si>
  <si>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</si>
  <si>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</si>
  <si>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</si>
  <si>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</si>
  <si>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</si>
  <si>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</si>
  <si>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</si>
  <si>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</si>
  <si>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</si>
  <si>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</si>
  <si>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</si>
  <si>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</si>
  <si>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</si>
  <si>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</si>
  <si>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</si>
  <si>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</si>
  <si>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</si>
  <si>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</si>
  <si>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</si>
  <si>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</si>
  <si>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</si>
  <si>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</si>
  <si>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</si>
  <si>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</si>
  <si>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</si>
  <si>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</si>
  <si>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</si>
  <si>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</si>
  <si>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</si>
  <si>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</si>
  <si>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</si>
  <si>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</si>
  <si>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</si>
  <si>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</si>
  <si>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</si>
  <si>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</si>
  <si>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</si>
  <si>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</si>
  <si>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</si>
  <si>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</si>
  <si>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</si>
  <si>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</si>
  <si>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</si>
  <si>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</si>
  <si>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</si>
  <si>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</si>
  <si>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</si>
  <si>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</si>
  <si>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</si>
  <si>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</si>
  <si>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</si>
  <si>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</si>
  <si>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</si>
  <si>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</si>
  <si>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</si>
  <si>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</si>
  <si>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</si>
  <si>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</si>
  <si>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</si>
  <si>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</si>
  <si>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</si>
  <si>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</si>
  <si>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</si>
  <si>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</si>
  <si>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</si>
  <si>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</si>
  <si>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</si>
  <si>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</si>
  <si>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</si>
  <si>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</si>
  <si>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</si>
  <si>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</si>
  <si>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</si>
  <si>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</si>
  <si>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</si>
  <si>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</si>
  <si>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</si>
  <si>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</si>
  <si>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</si>
  <si>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</si>
  <si>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</si>
  <si>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</si>
  <si>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</si>
  <si>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</si>
  <si>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</si>
  <si>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</si>
  <si>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</si>
  <si>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</si>
  <si>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</si>
  <si>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</si>
  <si>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</si>
  <si>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</si>
  <si>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</si>
  <si>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</si>
  <si>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</si>
  <si>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</si>
  <si>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</si>
  <si>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</si>
  <si>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</si>
  <si>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</si>
  <si>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</si>
  <si>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</si>
  <si>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</si>
  <si>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</si>
  <si>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</si>
  <si>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</si>
  <si>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</si>
  <si>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</si>
  <si>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</si>
  <si>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</si>
  <si>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</si>
  <si>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</si>
  <si>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</si>
  <si>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</si>
  <si>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</si>
  <si>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</si>
  <si>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</si>
  <si>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</si>
  <si>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</si>
  <si>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</si>
  <si>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</si>
  <si>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</si>
  <si>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</si>
  <si>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</si>
  <si>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</si>
  <si>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</si>
  <si>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</si>
  <si>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</si>
  <si>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</si>
  <si>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</si>
  <si>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</si>
  <si>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</si>
  <si>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</si>
  <si>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</si>
  <si>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</si>
  <si>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</si>
  <si>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</si>
  <si>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</si>
  <si>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</si>
  <si>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</si>
  <si>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</si>
  <si>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</si>
  <si>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</si>
  <si>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</si>
  <si>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</si>
  <si>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</si>
  <si>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</si>
  <si>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</si>
  <si>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</si>
  <si>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</si>
  <si>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</si>
  <si>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</si>
  <si>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</si>
  <si>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</si>
  <si>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</si>
  <si>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</si>
  <si>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</si>
  <si>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</si>
  <si>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</si>
  <si>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</si>
  <si>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</si>
  <si>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</si>
  <si>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</si>
  <si>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</si>
  <si>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</si>
  <si>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</si>
  <si>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</si>
  <si>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</si>
  <si>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</si>
  <si>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</si>
  <si>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</si>
  <si>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</si>
  <si>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</si>
  <si>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</si>
  <si>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</si>
  <si>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</si>
  <si>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</si>
  <si>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</si>
  <si>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</si>
  <si>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</si>
  <si>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</si>
  <si>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</si>
  <si>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</si>
  <si>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</si>
  <si>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</si>
  <si>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</si>
  <si>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Міський голова                                                                                                                                       А.В.Лінник</t>
  </si>
  <si>
    <t>Первинна медична допомога населенню, що надається центрами первинної медичної (медико-санітарної) допомоги</t>
  </si>
  <si>
    <t xml:space="preserve">                             від  26 лютого 2020 р № </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</si>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</sst>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67" zoomScaleNormal="60" zoomScaleSheetLayoutView="67" workbookViewId="0">
      <pane xSplit="5" ySplit="10" topLeftCell="K184" activePane="bottomRight" state="frozen"/>
      <selection pane="topRight" activeCell="F1" sqref="F1"/>
      <selection pane="bottomLeft" activeCell="A11" sqref="A11"/>
      <selection pane="bottomRight" activeCell="L186" sqref="L186"/>
    </sheetView>
  </sheetViews>
  <sheetFormatPr defaultColWidth="9.109375" defaultRowHeight="24.75" customHeight="1"/>
  <cols>
    <col min="1" max="1" width="16.5546875" style="33" customWidth="1"/>
    <col min="2" max="2" width="16.88671875" style="33" customWidth="1"/>
    <col min="3" max="3" width="10.33203125" style="33" customWidth="1"/>
    <col min="4" max="4" width="48.33203125" style="1" customWidth="1"/>
    <col min="5" max="5" width="6.88671875" style="21" hidden="1" customWidth="1"/>
    <col min="6" max="6" width="22.6640625" style="57" customWidth="1"/>
    <col min="7" max="7" width="20.88671875" style="57" customWidth="1"/>
    <col min="8" max="8" width="21.33203125" style="57" customWidth="1"/>
    <col min="9" max="9" width="20.44140625" style="57" customWidth="1"/>
    <col min="10" max="10" width="22.44140625" style="57" customWidth="1"/>
    <col min="11" max="11" width="21.5546875" style="57" customWidth="1"/>
    <col min="12" max="12" width="19.5546875" style="57" customWidth="1"/>
    <col min="13" max="13" width="20.5546875" style="57" customWidth="1"/>
    <col min="14" max="15" width="19" style="57" customWidth="1"/>
    <col min="16" max="16" width="19.5546875" style="57" customWidth="1"/>
    <col min="17" max="17" width="26.33203125" style="57" customWidth="1"/>
    <col min="18" max="18" width="28.44140625" style="33" customWidth="1"/>
    <col min="19" max="19" width="17.44140625" style="33" customWidth="1"/>
    <col min="20" max="20" width="23.6640625" style="34" customWidth="1"/>
    <col min="21" max="16384" width="9.109375" style="33"/>
  </cols>
  <sheetData>
    <row r="1" spans="1:20" s="8" customFormat="1" ht="30" customHeight="1">
      <c r="D1" s="2"/>
      <c r="F1" s="43"/>
      <c r="G1" s="44"/>
      <c r="H1" s="43"/>
      <c r="I1" s="43"/>
      <c r="J1" s="43"/>
      <c r="K1" s="43"/>
      <c r="L1" s="43"/>
      <c r="M1" s="43"/>
      <c r="N1" s="144" t="s">
        <v>496</v>
      </c>
      <c r="O1" s="144"/>
      <c r="P1" s="144"/>
      <c r="Q1" s="144"/>
      <c r="T1" s="22"/>
    </row>
    <row r="2" spans="1:20" s="8" customFormat="1" ht="24.6" customHeight="1">
      <c r="A2" s="144" t="s">
        <v>323</v>
      </c>
      <c r="B2" s="144"/>
      <c r="C2" s="144"/>
      <c r="D2" s="144"/>
      <c r="E2" s="144"/>
      <c r="F2" s="144"/>
      <c r="G2" s="144"/>
      <c r="H2" s="144"/>
      <c r="I2" s="144"/>
      <c r="J2" s="144"/>
      <c r="K2" s="144"/>
      <c r="L2" s="144"/>
      <c r="M2" s="144"/>
      <c r="N2" s="145" t="s">
        <v>356</v>
      </c>
      <c r="O2" s="145"/>
      <c r="P2" s="145"/>
      <c r="Q2" s="145"/>
      <c r="T2" s="22"/>
    </row>
    <row r="3" spans="1:20" s="8" customFormat="1" ht="27" customHeight="1">
      <c r="A3" s="144" t="s">
        <v>492</v>
      </c>
      <c r="B3" s="144"/>
      <c r="C3" s="144"/>
      <c r="D3" s="144"/>
      <c r="E3" s="144"/>
      <c r="F3" s="144"/>
      <c r="G3" s="144"/>
      <c r="H3" s="144"/>
      <c r="I3" s="144"/>
      <c r="J3" s="144"/>
      <c r="K3" s="144"/>
      <c r="L3" s="144"/>
      <c r="M3" s="144"/>
      <c r="N3" s="146" t="s">
        <v>505</v>
      </c>
      <c r="O3" s="146"/>
      <c r="P3" s="146"/>
      <c r="Q3" s="146"/>
      <c r="T3" s="22"/>
    </row>
    <row r="4" spans="1:20" s="8" customFormat="1" ht="17.399999999999999" customHeight="1">
      <c r="A4" s="147">
        <v>25538000000</v>
      </c>
      <c r="B4" s="147"/>
      <c r="C4" s="147"/>
      <c r="D4" s="2"/>
      <c r="E4" s="26"/>
      <c r="F4" s="45"/>
      <c r="G4" s="45"/>
      <c r="H4" s="45"/>
      <c r="I4" s="45"/>
      <c r="J4" s="45"/>
      <c r="K4" s="45"/>
      <c r="L4" s="45"/>
      <c r="M4" s="45"/>
      <c r="N4" s="143"/>
      <c r="O4" s="143"/>
      <c r="P4" s="143"/>
      <c r="Q4" s="143"/>
      <c r="T4" s="22"/>
    </row>
    <row r="5" spans="1:20" s="8" customFormat="1" ht="17.399999999999999" customHeight="1">
      <c r="A5" s="137" t="s">
        <v>491</v>
      </c>
      <c r="B5" s="137"/>
      <c r="C5" s="137"/>
      <c r="D5" s="2"/>
      <c r="E5" s="14"/>
      <c r="F5" s="45"/>
      <c r="G5" s="45"/>
      <c r="H5" s="45"/>
      <c r="I5" s="45"/>
      <c r="J5" s="45"/>
      <c r="K5" s="45"/>
      <c r="L5" s="45"/>
      <c r="M5" s="45"/>
      <c r="N5" s="45"/>
      <c r="O5" s="45"/>
      <c r="P5" s="46"/>
      <c r="Q5" s="46"/>
      <c r="T5" s="22"/>
    </row>
    <row r="6" spans="1:20" s="58" customFormat="1" ht="21.6" customHeight="1">
      <c r="A6" s="138" t="s">
        <v>357</v>
      </c>
      <c r="B6" s="140" t="s">
        <v>497</v>
      </c>
      <c r="C6" s="138" t="s">
        <v>293</v>
      </c>
      <c r="D6" s="133" t="s">
        <v>483</v>
      </c>
      <c r="E6" s="139" t="s">
        <v>59</v>
      </c>
      <c r="F6" s="132" t="s">
        <v>294</v>
      </c>
      <c r="G6" s="132"/>
      <c r="H6" s="132"/>
      <c r="I6" s="132"/>
      <c r="J6" s="64"/>
      <c r="K6" s="132" t="s">
        <v>295</v>
      </c>
      <c r="L6" s="136"/>
      <c r="M6" s="136"/>
      <c r="N6" s="136"/>
      <c r="O6" s="136"/>
      <c r="P6" s="136"/>
      <c r="Q6" s="132" t="s">
        <v>0</v>
      </c>
      <c r="T6" s="59"/>
    </row>
    <row r="7" spans="1:20" s="58" customFormat="1" ht="25.2" customHeight="1">
      <c r="A7" s="138"/>
      <c r="B7" s="141"/>
      <c r="C7" s="138"/>
      <c r="D7" s="133"/>
      <c r="E7" s="139"/>
      <c r="F7" s="132" t="s">
        <v>206</v>
      </c>
      <c r="G7" s="132" t="s">
        <v>47</v>
      </c>
      <c r="H7" s="134" t="s">
        <v>26</v>
      </c>
      <c r="I7" s="134"/>
      <c r="J7" s="132" t="s">
        <v>48</v>
      </c>
      <c r="K7" s="132" t="s">
        <v>206</v>
      </c>
      <c r="L7" s="132" t="s">
        <v>296</v>
      </c>
      <c r="M7" s="132" t="s">
        <v>49</v>
      </c>
      <c r="N7" s="134" t="s">
        <v>26</v>
      </c>
      <c r="O7" s="134"/>
      <c r="P7" s="132" t="s">
        <v>50</v>
      </c>
      <c r="Q7" s="132"/>
      <c r="T7" s="59"/>
    </row>
    <row r="8" spans="1:20" s="58" customFormat="1" ht="16.5" customHeight="1">
      <c r="A8" s="138"/>
      <c r="B8" s="141"/>
      <c r="C8" s="138"/>
      <c r="D8" s="133"/>
      <c r="E8" s="139"/>
      <c r="F8" s="132"/>
      <c r="G8" s="132"/>
      <c r="H8" s="132" t="s">
        <v>54</v>
      </c>
      <c r="I8" s="132" t="s">
        <v>21</v>
      </c>
      <c r="J8" s="132"/>
      <c r="K8" s="132"/>
      <c r="L8" s="135"/>
      <c r="M8" s="135"/>
      <c r="N8" s="132" t="s">
        <v>297</v>
      </c>
      <c r="O8" s="132" t="s">
        <v>21</v>
      </c>
      <c r="P8" s="135"/>
      <c r="Q8" s="132"/>
      <c r="T8" s="59"/>
    </row>
    <row r="9" spans="1:20" s="58" customFormat="1" ht="76.2" customHeight="1">
      <c r="A9" s="138"/>
      <c r="B9" s="142"/>
      <c r="C9" s="138"/>
      <c r="D9" s="133"/>
      <c r="E9" s="139"/>
      <c r="F9" s="132"/>
      <c r="G9" s="132"/>
      <c r="H9" s="132"/>
      <c r="I9" s="132"/>
      <c r="J9" s="132"/>
      <c r="K9" s="132"/>
      <c r="L9" s="135"/>
      <c r="M9" s="135"/>
      <c r="N9" s="132"/>
      <c r="O9" s="132"/>
      <c r="P9" s="135"/>
      <c r="Q9" s="132"/>
      <c r="T9" s="59"/>
    </row>
    <row r="10" spans="1:20" s="19" customFormat="1" ht="16.95"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61264195.75</v>
      </c>
      <c r="G11" s="77">
        <f>G12</f>
        <v>60103595.75</v>
      </c>
      <c r="H11" s="78">
        <f t="shared" ref="H11:P11" si="0">H12</f>
        <v>20463300</v>
      </c>
      <c r="I11" s="78">
        <f t="shared" si="0"/>
        <v>692900</v>
      </c>
      <c r="J11" s="78">
        <f t="shared" si="0"/>
        <v>1160600</v>
      </c>
      <c r="K11" s="77">
        <f t="shared" si="0"/>
        <v>5948128</v>
      </c>
      <c r="L11" s="77">
        <f t="shared" si="0"/>
        <v>5862728</v>
      </c>
      <c r="M11" s="78">
        <f t="shared" si="0"/>
        <v>85400</v>
      </c>
      <c r="N11" s="78">
        <f t="shared" si="0"/>
        <v>0</v>
      </c>
      <c r="O11" s="78">
        <f t="shared" si="0"/>
        <v>0</v>
      </c>
      <c r="P11" s="78">
        <f t="shared" si="0"/>
        <v>5862728</v>
      </c>
      <c r="Q11" s="77">
        <f t="shared" ref="Q11:Q45" si="1">F11+K11</f>
        <v>67212323.75</v>
      </c>
      <c r="T11" s="24"/>
    </row>
    <row r="12" spans="1:20" s="23" customFormat="1" ht="43.2" customHeight="1">
      <c r="A12" s="79" t="s">
        <v>119</v>
      </c>
      <c r="B12" s="79" t="s">
        <v>119</v>
      </c>
      <c r="C12" s="80"/>
      <c r="D12" s="81" t="s">
        <v>114</v>
      </c>
      <c r="E12" s="80"/>
      <c r="F12" s="82">
        <f>SUM(F13:F45)+F46</f>
        <v>61264195.75</v>
      </c>
      <c r="G12" s="82">
        <f>SUM(G13:G45)+G46</f>
        <v>60103595.75</v>
      </c>
      <c r="H12" s="82">
        <f t="shared" ref="H12:P12" si="2">SUM(H13:H45)</f>
        <v>20463300</v>
      </c>
      <c r="I12" s="82">
        <f t="shared" si="2"/>
        <v>692900</v>
      </c>
      <c r="J12" s="82">
        <f t="shared" si="2"/>
        <v>1160600</v>
      </c>
      <c r="K12" s="82">
        <f t="shared" si="2"/>
        <v>5948128</v>
      </c>
      <c r="L12" s="82">
        <f t="shared" si="2"/>
        <v>5862728</v>
      </c>
      <c r="M12" s="82">
        <f t="shared" si="2"/>
        <v>85400</v>
      </c>
      <c r="N12" s="82">
        <f t="shared" si="2"/>
        <v>0</v>
      </c>
      <c r="O12" s="82">
        <f t="shared" si="2"/>
        <v>0</v>
      </c>
      <c r="P12" s="82">
        <f t="shared" si="2"/>
        <v>5862728</v>
      </c>
      <c r="Q12" s="82">
        <f t="shared" si="1"/>
        <v>67212323.75</v>
      </c>
      <c r="R12" s="60"/>
      <c r="T12" s="24"/>
    </row>
    <row r="13" spans="1:20" s="25" customFormat="1" ht="56.4" customHeight="1">
      <c r="A13" s="66" t="s">
        <v>120</v>
      </c>
      <c r="B13" s="66" t="s">
        <v>358</v>
      </c>
      <c r="C13" s="66" t="s">
        <v>61</v>
      </c>
      <c r="D13" s="117" t="s">
        <v>308</v>
      </c>
      <c r="E13" s="3" t="s">
        <v>2</v>
      </c>
      <c r="F13" s="4">
        <f t="shared" ref="F13:F71" si="3">G13+J13</f>
        <v>20249400</v>
      </c>
      <c r="G13" s="4">
        <f>19691100+550000+8300</f>
        <v>20249400</v>
      </c>
      <c r="H13" s="12">
        <v>18296000</v>
      </c>
      <c r="I13" s="12">
        <v>578600</v>
      </c>
      <c r="J13" s="12"/>
      <c r="K13" s="4">
        <f t="shared" ref="K13:K45" si="4">M13+P13</f>
        <v>216400</v>
      </c>
      <c r="L13" s="4">
        <v>131000</v>
      </c>
      <c r="M13" s="4">
        <v>85400</v>
      </c>
      <c r="N13" s="4"/>
      <c r="O13" s="12"/>
      <c r="P13" s="12">
        <v>131000</v>
      </c>
      <c r="Q13" s="4">
        <f t="shared" si="1"/>
        <v>20465800</v>
      </c>
      <c r="T13" s="22"/>
    </row>
    <row r="14" spans="1:20" s="25" customFormat="1" ht="44.4"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 customHeight="1">
      <c r="A15" s="66" t="s">
        <v>121</v>
      </c>
      <c r="B15" s="66" t="s">
        <v>359</v>
      </c>
      <c r="C15" s="67" t="s">
        <v>62</v>
      </c>
      <c r="D15" s="10" t="s">
        <v>88</v>
      </c>
      <c r="E15" s="10" t="s">
        <v>60</v>
      </c>
      <c r="F15" s="4">
        <f t="shared" si="3"/>
        <v>19629000</v>
      </c>
      <c r="G15" s="4">
        <f>19392700+195000+41300</f>
        <v>19629000</v>
      </c>
      <c r="H15" s="12"/>
      <c r="I15" s="12"/>
      <c r="J15" s="12"/>
      <c r="K15" s="4">
        <f t="shared" si="4"/>
        <v>1006550</v>
      </c>
      <c r="L15" s="4">
        <f>728000+269850+8700</f>
        <v>1006550</v>
      </c>
      <c r="M15" s="4"/>
      <c r="N15" s="4"/>
      <c r="O15" s="12"/>
      <c r="P15" s="47">
        <f>728000+269850+8700</f>
        <v>1006550</v>
      </c>
      <c r="Q15" s="4">
        <f t="shared" si="1"/>
        <v>20635550</v>
      </c>
      <c r="T15" s="24"/>
    </row>
    <row r="16" spans="1:20" s="23" customFormat="1" ht="55.5" customHeight="1">
      <c r="A16" s="66" t="s">
        <v>126</v>
      </c>
      <c r="B16" s="66" t="s">
        <v>360</v>
      </c>
      <c r="C16" s="66" t="s">
        <v>63</v>
      </c>
      <c r="D16" s="118" t="s">
        <v>89</v>
      </c>
      <c r="E16" s="7" t="s">
        <v>55</v>
      </c>
      <c r="F16" s="4">
        <f>G16+J16</f>
        <v>7852100</v>
      </c>
      <c r="G16" s="4">
        <f>7637200+50000+100000+117400-52500</f>
        <v>7852100</v>
      </c>
      <c r="H16" s="12"/>
      <c r="I16" s="12"/>
      <c r="J16" s="12"/>
      <c r="K16" s="4">
        <f t="shared" si="4"/>
        <v>1479802</v>
      </c>
      <c r="L16" s="4">
        <f>1747202-150000-117400</f>
        <v>1479802</v>
      </c>
      <c r="M16" s="4"/>
      <c r="N16" s="4"/>
      <c r="O16" s="12"/>
      <c r="P16" s="12">
        <f>1747202-150000-117400</f>
        <v>1479802</v>
      </c>
      <c r="Q16" s="4">
        <f t="shared" si="1"/>
        <v>9331902</v>
      </c>
      <c r="T16" s="24"/>
    </row>
    <row r="17" spans="1:20" s="23" customFormat="1" ht="44.4" customHeight="1">
      <c r="A17" s="66" t="s">
        <v>125</v>
      </c>
      <c r="B17" s="66" t="s">
        <v>361</v>
      </c>
      <c r="C17" s="66" t="s">
        <v>64</v>
      </c>
      <c r="D17" s="6" t="s">
        <v>109</v>
      </c>
      <c r="E17" s="7"/>
      <c r="F17" s="41">
        <f>G17+J17</f>
        <v>1800152.48</v>
      </c>
      <c r="G17" s="41">
        <f>1754500+0.48+45652</f>
        <v>1800152.48</v>
      </c>
      <c r="H17" s="12"/>
      <c r="I17" s="12"/>
      <c r="J17" s="12"/>
      <c r="K17" s="4">
        <f t="shared" si="4"/>
        <v>320600</v>
      </c>
      <c r="L17" s="4">
        <f>1220600-900000</f>
        <v>320600</v>
      </c>
      <c r="M17" s="4"/>
      <c r="N17" s="4"/>
      <c r="O17" s="12"/>
      <c r="P17" s="47">
        <f>1220600-900000</f>
        <v>320600</v>
      </c>
      <c r="Q17" s="41">
        <f t="shared" si="1"/>
        <v>2120752.48</v>
      </c>
      <c r="T17" s="24"/>
    </row>
    <row r="18" spans="1:20" s="23" customFormat="1" ht="56.25" customHeight="1">
      <c r="A18" s="66" t="s">
        <v>219</v>
      </c>
      <c r="B18" s="66" t="s">
        <v>362</v>
      </c>
      <c r="C18" s="66" t="s">
        <v>220</v>
      </c>
      <c r="D18" s="6" t="s">
        <v>504</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700028.27</v>
      </c>
      <c r="G22" s="41">
        <f>165600+534400+28.27</f>
        <v>700028.27</v>
      </c>
      <c r="H22" s="12"/>
      <c r="I22" s="12"/>
      <c r="J22" s="12"/>
      <c r="K22" s="4">
        <f t="shared" si="4"/>
        <v>0</v>
      </c>
      <c r="L22" s="4"/>
      <c r="M22" s="4"/>
      <c r="N22" s="4"/>
      <c r="O22" s="12"/>
      <c r="P22" s="12"/>
      <c r="Q22" s="41">
        <f t="shared" si="1"/>
        <v>700028.27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5" customHeight="1">
      <c r="A25" s="66" t="s">
        <v>223</v>
      </c>
      <c r="B25" s="66" t="s">
        <v>369</v>
      </c>
      <c r="C25" s="66" t="s">
        <v>65</v>
      </c>
      <c r="D25" s="118" t="s">
        <v>299</v>
      </c>
      <c r="E25" s="7"/>
      <c r="F25" s="4">
        <f t="shared" si="3"/>
        <v>174000</v>
      </c>
      <c r="G25" s="4">
        <f>44000+130000</f>
        <v>174000</v>
      </c>
      <c r="H25" s="12"/>
      <c r="I25" s="12"/>
      <c r="J25" s="12"/>
      <c r="K25" s="4">
        <f t="shared" si="4"/>
        <v>0</v>
      </c>
      <c r="L25" s="4"/>
      <c r="M25" s="4"/>
      <c r="N25" s="4"/>
      <c r="O25" s="12"/>
      <c r="P25" s="12"/>
      <c r="Q25" s="4">
        <f t="shared" si="1"/>
        <v>174000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632050</v>
      </c>
      <c r="G30" s="4">
        <f>36000+517600+62100+10350+6000</f>
        <v>632050</v>
      </c>
      <c r="H30" s="12"/>
      <c r="I30" s="12"/>
      <c r="J30" s="12"/>
      <c r="K30" s="4">
        <f t="shared" si="4"/>
        <v>50480</v>
      </c>
      <c r="L30" s="4">
        <f>18980+37500-6000</f>
        <v>50480</v>
      </c>
      <c r="M30" s="4"/>
      <c r="N30" s="4"/>
      <c r="O30" s="12"/>
      <c r="P30" s="12">
        <f>18980+37500-6000</f>
        <v>50480</v>
      </c>
      <c r="Q30" s="4">
        <f t="shared" si="1"/>
        <v>682530</v>
      </c>
      <c r="T30" s="22"/>
    </row>
    <row r="31" spans="1:20" s="8" customFormat="1" ht="54.75" customHeight="1">
      <c r="A31" s="66" t="s">
        <v>224</v>
      </c>
      <c r="B31" s="66" t="s">
        <v>374</v>
      </c>
      <c r="C31" s="66" t="s">
        <v>66</v>
      </c>
      <c r="D31" s="118" t="s">
        <v>225</v>
      </c>
      <c r="E31" s="7"/>
      <c r="F31" s="4">
        <f>G31+J31</f>
        <v>1892200</v>
      </c>
      <c r="G31" s="4">
        <f>1715000+68000+109200</f>
        <v>1892200</v>
      </c>
      <c r="H31" s="12"/>
      <c r="I31" s="12"/>
      <c r="J31" s="12"/>
      <c r="K31" s="4">
        <f t="shared" si="4"/>
        <v>0</v>
      </c>
      <c r="L31" s="4"/>
      <c r="M31" s="4"/>
      <c r="N31" s="4"/>
      <c r="O31" s="12"/>
      <c r="P31" s="12"/>
      <c r="Q31" s="4">
        <f t="shared" si="1"/>
        <v>1892200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5" customHeight="1">
      <c r="A34" s="66" t="s">
        <v>488</v>
      </c>
      <c r="B34" s="66" t="s">
        <v>446</v>
      </c>
      <c r="C34" s="66" t="s">
        <v>83</v>
      </c>
      <c r="D34" s="119" t="s">
        <v>489</v>
      </c>
      <c r="E34" s="13"/>
      <c r="F34" s="4">
        <f t="shared" si="3"/>
        <v>0</v>
      </c>
      <c r="G34" s="48"/>
      <c r="H34" s="49"/>
      <c r="I34" s="49"/>
      <c r="J34" s="49"/>
      <c r="K34" s="4">
        <f>M34+P34</f>
        <v>1400000</v>
      </c>
      <c r="L34" s="48">
        <f>150000+900000+350000</f>
        <v>1400000</v>
      </c>
      <c r="M34" s="48"/>
      <c r="N34" s="48"/>
      <c r="O34" s="49"/>
      <c r="P34" s="49">
        <f>150000+900000+350000</f>
        <v>1400000</v>
      </c>
      <c r="Q34" s="4">
        <f>F34+K34</f>
        <v>1400000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200000000000003" customHeight="1">
      <c r="A36" s="66" t="s">
        <v>464</v>
      </c>
      <c r="B36" s="66" t="s">
        <v>465</v>
      </c>
      <c r="C36" s="66" t="s">
        <v>466</v>
      </c>
      <c r="D36" s="119" t="s">
        <v>467</v>
      </c>
      <c r="E36" s="7"/>
      <c r="F36" s="4">
        <f>G36+J36</f>
        <v>1098589</v>
      </c>
      <c r="G36" s="4">
        <f>1041085-160600-8300+13304+52500</f>
        <v>937989</v>
      </c>
      <c r="H36" s="12"/>
      <c r="I36" s="12"/>
      <c r="J36" s="12">
        <v>160600</v>
      </c>
      <c r="K36" s="4">
        <f t="shared" si="4"/>
        <v>659296</v>
      </c>
      <c r="L36" s="4">
        <f>672600-13304</f>
        <v>659296</v>
      </c>
      <c r="M36" s="4"/>
      <c r="N36" s="4"/>
      <c r="O36" s="12"/>
      <c r="P36" s="12">
        <f>672600-13304</f>
        <v>659296</v>
      </c>
      <c r="Q36" s="4">
        <f t="shared" si="1"/>
        <v>1757885</v>
      </c>
      <c r="T36" s="22"/>
    </row>
    <row r="37" spans="1:20" s="8" customFormat="1" ht="62.4"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50000000000003"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50000000000003"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50000000000003"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50000000000003"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50000000000003" customHeight="1">
      <c r="A42" s="66" t="s">
        <v>132</v>
      </c>
      <c r="B42" s="66" t="s">
        <v>383</v>
      </c>
      <c r="C42" s="66" t="s">
        <v>71</v>
      </c>
      <c r="D42" s="119" t="s">
        <v>266</v>
      </c>
      <c r="E42" s="7"/>
      <c r="F42" s="48">
        <f t="shared" si="3"/>
        <v>95000</v>
      </c>
      <c r="G42" s="48">
        <f>130000+90000-125000</f>
        <v>95000</v>
      </c>
      <c r="H42" s="49"/>
      <c r="I42" s="49"/>
      <c r="J42" s="49"/>
      <c r="K42" s="4">
        <f t="shared" si="4"/>
        <v>125000</v>
      </c>
      <c r="L42" s="48">
        <v>125000</v>
      </c>
      <c r="M42" s="48"/>
      <c r="N42" s="48"/>
      <c r="O42" s="49"/>
      <c r="P42" s="49">
        <f>L42</f>
        <v>125000</v>
      </c>
      <c r="Q42" s="4">
        <f t="shared" si="1"/>
        <v>220000</v>
      </c>
      <c r="T42" s="22"/>
    </row>
    <row r="43" spans="1:20" s="8" customFormat="1" ht="34.200000000000003"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200000000000003"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 customHeight="1">
      <c r="A47" s="74" t="s">
        <v>142</v>
      </c>
      <c r="B47" s="74" t="s">
        <v>142</v>
      </c>
      <c r="C47" s="83"/>
      <c r="D47" s="84" t="s">
        <v>28</v>
      </c>
      <c r="E47" s="83" t="s">
        <v>28</v>
      </c>
      <c r="F47" s="77">
        <f>F48</f>
        <v>223597236.41</v>
      </c>
      <c r="G47" s="77">
        <f t="shared" ref="G47:P47" si="5">G48</f>
        <v>223597236.41</v>
      </c>
      <c r="H47" s="77">
        <f t="shared" si="5"/>
        <v>173646696.41</v>
      </c>
      <c r="I47" s="78">
        <f t="shared" si="5"/>
        <v>25825530</v>
      </c>
      <c r="J47" s="78">
        <f t="shared" si="5"/>
        <v>0</v>
      </c>
      <c r="K47" s="77">
        <f t="shared" si="5"/>
        <v>24375156.759999998</v>
      </c>
      <c r="L47" s="77">
        <f t="shared" si="5"/>
        <v>15594556.76</v>
      </c>
      <c r="M47" s="78">
        <f t="shared" si="5"/>
        <v>8780600</v>
      </c>
      <c r="N47" s="78">
        <f t="shared" si="5"/>
        <v>231800</v>
      </c>
      <c r="O47" s="78">
        <f t="shared" si="5"/>
        <v>296300</v>
      </c>
      <c r="P47" s="77">
        <f t="shared" si="5"/>
        <v>15594556.76</v>
      </c>
      <c r="Q47" s="77">
        <f t="shared" ref="Q47:Q73" si="6">F47+K47</f>
        <v>247972393.16999999</v>
      </c>
      <c r="T47" s="24"/>
    </row>
    <row r="48" spans="1:20" s="26" customFormat="1" ht="31.2" customHeight="1">
      <c r="A48" s="79" t="s">
        <v>143</v>
      </c>
      <c r="B48" s="79" t="s">
        <v>143</v>
      </c>
      <c r="C48" s="85"/>
      <c r="D48" s="86" t="s">
        <v>180</v>
      </c>
      <c r="E48" s="85"/>
      <c r="F48" s="87">
        <f>G48</f>
        <v>223597236.41</v>
      </c>
      <c r="G48" s="87">
        <f>SUM(G49:G66)</f>
        <v>223597236.41</v>
      </c>
      <c r="H48" s="87">
        <f>SUM(H49:H66)</f>
        <v>173646696.41</v>
      </c>
      <c r="I48" s="87">
        <f>SUM(I49:I66)</f>
        <v>25825530</v>
      </c>
      <c r="J48" s="87">
        <f t="shared" ref="J48:P48" si="7">SUM(J49:J65)+J66</f>
        <v>0</v>
      </c>
      <c r="K48" s="87">
        <f t="shared" si="7"/>
        <v>24375156.759999998</v>
      </c>
      <c r="L48" s="87">
        <f t="shared" si="7"/>
        <v>15594556.76</v>
      </c>
      <c r="M48" s="87">
        <f t="shared" si="7"/>
        <v>8780600</v>
      </c>
      <c r="N48" s="87">
        <f t="shared" si="7"/>
        <v>231800</v>
      </c>
      <c r="O48" s="87">
        <f t="shared" si="7"/>
        <v>296300</v>
      </c>
      <c r="P48" s="87">
        <f t="shared" si="7"/>
        <v>15594556.76</v>
      </c>
      <c r="Q48" s="87">
        <f t="shared" si="6"/>
        <v>247972393.16999999</v>
      </c>
      <c r="T48" s="24"/>
    </row>
    <row r="49" spans="1:20" s="8" customFormat="1" ht="59.4"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52375006.859999999</v>
      </c>
      <c r="G51" s="41">
        <f>54671800-3473160+1000000+113460+62906.86</f>
        <v>52375006.859999999</v>
      </c>
      <c r="H51" s="50">
        <f>40565000-3473160+1000000+62906.86</f>
        <v>38154746.859999999</v>
      </c>
      <c r="I51" s="12">
        <v>7750800</v>
      </c>
      <c r="J51" s="12"/>
      <c r="K51" s="4">
        <f t="shared" si="8"/>
        <v>5057000</v>
      </c>
      <c r="L51" s="4">
        <v>227000</v>
      </c>
      <c r="M51" s="12">
        <v>4830000</v>
      </c>
      <c r="N51" s="4"/>
      <c r="O51" s="12"/>
      <c r="P51" s="12">
        <v>227000</v>
      </c>
      <c r="Q51" s="4">
        <f t="shared" si="6"/>
        <v>57432006.859999999</v>
      </c>
      <c r="T51" s="22"/>
    </row>
    <row r="52" spans="1:20" s="8" customFormat="1" ht="80.25" customHeight="1">
      <c r="A52" s="66" t="s">
        <v>148</v>
      </c>
      <c r="B52" s="66" t="s">
        <v>82</v>
      </c>
      <c r="C52" s="66" t="s">
        <v>74</v>
      </c>
      <c r="D52" s="119" t="s">
        <v>498</v>
      </c>
      <c r="E52" s="7" t="s">
        <v>40</v>
      </c>
      <c r="F52" s="41">
        <f t="shared" si="3"/>
        <v>147367060</v>
      </c>
      <c r="G52" s="41">
        <f>4500000+55000+133928070+3473160+399830+4376000+140000+85000+77000+183000+50000+100000</f>
        <v>147367060</v>
      </c>
      <c r="H52" s="51">
        <f>111752000+4376000</f>
        <v>116128000</v>
      </c>
      <c r="I52" s="12">
        <v>16675710</v>
      </c>
      <c r="J52" s="12"/>
      <c r="K52" s="4">
        <f t="shared" si="8"/>
        <v>4641600</v>
      </c>
      <c r="L52" s="41">
        <v>715500</v>
      </c>
      <c r="M52" s="12">
        <v>3926100</v>
      </c>
      <c r="N52" s="4">
        <v>231800</v>
      </c>
      <c r="O52" s="12">
        <v>296300</v>
      </c>
      <c r="P52" s="50">
        <v>715500</v>
      </c>
      <c r="Q52" s="4">
        <f>F52+K52</f>
        <v>152008660</v>
      </c>
      <c r="T52" s="22"/>
    </row>
    <row r="53" spans="1:20" s="8" customFormat="1" ht="51" customHeight="1">
      <c r="A53" s="66" t="s">
        <v>149</v>
      </c>
      <c r="B53" s="66" t="s">
        <v>66</v>
      </c>
      <c r="C53" s="66" t="s">
        <v>75</v>
      </c>
      <c r="D53" s="118" t="s">
        <v>484</v>
      </c>
      <c r="E53" s="7" t="s">
        <v>7</v>
      </c>
      <c r="F53" s="41">
        <f t="shared" si="3"/>
        <v>7090160</v>
      </c>
      <c r="G53" s="41">
        <f>6896260+156800+13600+23500</f>
        <v>7090160</v>
      </c>
      <c r="H53" s="50">
        <v>6100000</v>
      </c>
      <c r="I53" s="12">
        <v>463620</v>
      </c>
      <c r="J53" s="12"/>
      <c r="K53" s="4">
        <f t="shared" si="8"/>
        <v>267700</v>
      </c>
      <c r="L53" s="4">
        <f>32000+18000+193200</f>
        <v>243200</v>
      </c>
      <c r="M53" s="12">
        <v>24500</v>
      </c>
      <c r="N53" s="4"/>
      <c r="O53" s="12"/>
      <c r="P53" s="12">
        <f>32000+18000+193200</f>
        <v>243200</v>
      </c>
      <c r="Q53" s="4">
        <f t="shared" si="6"/>
        <v>7357860</v>
      </c>
      <c r="T53" s="22"/>
    </row>
    <row r="54" spans="1:20" s="8" customFormat="1" ht="40.200000000000003" customHeight="1">
      <c r="A54" s="66" t="s">
        <v>150</v>
      </c>
      <c r="B54" s="66" t="s">
        <v>387</v>
      </c>
      <c r="C54" s="66" t="s">
        <v>76</v>
      </c>
      <c r="D54" s="119" t="s">
        <v>486</v>
      </c>
      <c r="E54" s="7" t="s">
        <v>8</v>
      </c>
      <c r="F54" s="4">
        <f t="shared" si="3"/>
        <v>1274460</v>
      </c>
      <c r="G54" s="4">
        <v>1274460</v>
      </c>
      <c r="H54" s="12">
        <v>1159000</v>
      </c>
      <c r="I54" s="12">
        <v>90360</v>
      </c>
      <c r="J54" s="12"/>
      <c r="K54" s="4">
        <f t="shared" si="8"/>
        <v>0</v>
      </c>
      <c r="L54" s="4"/>
      <c r="M54" s="12"/>
      <c r="N54" s="4"/>
      <c r="O54" s="12"/>
      <c r="P54" s="12"/>
      <c r="Q54" s="4">
        <f t="shared" si="6"/>
        <v>1274460</v>
      </c>
      <c r="T54" s="22"/>
    </row>
    <row r="55" spans="1:20" s="8" customFormat="1" ht="34.950000000000003" customHeight="1">
      <c r="A55" s="66" t="s">
        <v>226</v>
      </c>
      <c r="B55" s="66" t="s">
        <v>388</v>
      </c>
      <c r="C55" s="68" t="s">
        <v>76</v>
      </c>
      <c r="D55" s="7" t="s">
        <v>227</v>
      </c>
      <c r="E55" s="9"/>
      <c r="F55" s="48">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2"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52">
        <f>G58+J58</f>
        <v>1744756.41</v>
      </c>
      <c r="G58" s="4">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7759750</v>
      </c>
      <c r="G59" s="4">
        <f>6611000+650000+164550+250000+9200+75000</f>
        <v>7759750</v>
      </c>
      <c r="H59" s="12">
        <v>5490000</v>
      </c>
      <c r="I59" s="12">
        <v>531040</v>
      </c>
      <c r="J59" s="12"/>
      <c r="K59" s="4">
        <f t="shared" si="8"/>
        <v>321000</v>
      </c>
      <c r="L59" s="4">
        <f>90000+231000</f>
        <v>321000</v>
      </c>
      <c r="M59" s="12"/>
      <c r="N59" s="4"/>
      <c r="O59" s="12"/>
      <c r="P59" s="12">
        <f>90000+231000</f>
        <v>321000</v>
      </c>
      <c r="Q59" s="4">
        <f t="shared" si="6"/>
        <v>8080750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4739856.76</v>
      </c>
      <c r="L61" s="41">
        <f>1168223.41+2477819.35+350468+743346</f>
        <v>4739856.76</v>
      </c>
      <c r="M61" s="12"/>
      <c r="N61" s="4"/>
      <c r="O61" s="12"/>
      <c r="P61" s="50">
        <f>1168223.41+2477819.35+350468+743346</f>
        <v>4739856.76</v>
      </c>
      <c r="Q61" s="4">
        <f t="shared" si="6"/>
        <v>4739856.76</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397000</v>
      </c>
      <c r="G64" s="48">
        <v>397000</v>
      </c>
      <c r="H64" s="49"/>
      <c r="I64" s="49"/>
      <c r="J64" s="49"/>
      <c r="K64" s="4">
        <f t="shared" si="8"/>
        <v>168000</v>
      </c>
      <c r="L64" s="48">
        <v>168000</v>
      </c>
      <c r="M64" s="48"/>
      <c r="N64" s="48"/>
      <c r="O64" s="49"/>
      <c r="P64" s="49">
        <v>168000</v>
      </c>
      <c r="Q64" s="4">
        <f>F64+K64</f>
        <v>565000</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25501350</v>
      </c>
      <c r="G67" s="77">
        <f t="shared" ref="G67:P67" si="9">G68</f>
        <v>25501350</v>
      </c>
      <c r="H67" s="78">
        <f t="shared" si="9"/>
        <v>20564590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25784650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25501350</v>
      </c>
      <c r="G68" s="87">
        <f>G69+G70+G71+G72+G73+G74+G75+G76+G77+G78+G79+G88+G90+G91+G92+G93+G94+G96+G97+G98+G99+G100+G101+G103+G104+G102+G108+G95+G105+G107</f>
        <v>25501350</v>
      </c>
      <c r="H68" s="87">
        <f t="shared" ref="H68:O68" si="10">H69+H70+H71+H72+H73+H74+H75+H76+H77+H78+H79+H88+H90+H91+H92+H93+H94+H96+H97+H98+H99+H100+H101+H103+H104+H102+H108+H95+H105+H107</f>
        <v>20564590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25784650</v>
      </c>
      <c r="T68" s="24"/>
    </row>
    <row r="69" spans="1:20" s="8" customFormat="1" ht="61.2"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50000000000003"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00000000000006"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2"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5812100</v>
      </c>
      <c r="G97" s="4">
        <f>5672500+54100+85500</f>
        <v>5812100</v>
      </c>
      <c r="H97" s="12">
        <v>5364000</v>
      </c>
      <c r="I97" s="12">
        <v>212600</v>
      </c>
      <c r="J97" s="12"/>
      <c r="K97" s="4">
        <f t="shared" ref="K97:K108" si="21">M97+P97</f>
        <v>145000</v>
      </c>
      <c r="L97" s="4"/>
      <c r="M97" s="12">
        <v>145000</v>
      </c>
      <c r="N97" s="4">
        <v>118000</v>
      </c>
      <c r="O97" s="12"/>
      <c r="P97" s="12"/>
      <c r="Q97" s="4">
        <f t="shared" ref="Q97:Q108" si="22">F97+K97</f>
        <v>5957100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00000000000006"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2"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513</v>
      </c>
      <c r="B106" s="66" t="s">
        <v>514</v>
      </c>
      <c r="C106" s="66" t="s">
        <v>83</v>
      </c>
      <c r="D106" s="118" t="s">
        <v>515</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 customHeight="1">
      <c r="A109" s="74" t="s">
        <v>87</v>
      </c>
      <c r="B109" s="74" t="s">
        <v>87</v>
      </c>
      <c r="C109" s="88"/>
      <c r="D109" s="84" t="s">
        <v>35</v>
      </c>
      <c r="E109" s="83" t="s">
        <v>35</v>
      </c>
      <c r="F109" s="77">
        <f>F110</f>
        <v>26282289</v>
      </c>
      <c r="G109" s="77">
        <f t="shared" ref="G109:P109" si="23">G110</f>
        <v>26282289</v>
      </c>
      <c r="H109" s="78">
        <f t="shared" si="23"/>
        <v>20741650</v>
      </c>
      <c r="I109" s="78">
        <f t="shared" si="23"/>
        <v>1941100</v>
      </c>
      <c r="J109" s="78">
        <f t="shared" si="23"/>
        <v>0</v>
      </c>
      <c r="K109" s="77">
        <f t="shared" si="23"/>
        <v>1157500</v>
      </c>
      <c r="L109" s="78">
        <f t="shared" si="23"/>
        <v>516500</v>
      </c>
      <c r="M109" s="78">
        <f t="shared" si="23"/>
        <v>641000</v>
      </c>
      <c r="N109" s="78">
        <f t="shared" si="23"/>
        <v>169050</v>
      </c>
      <c r="O109" s="78">
        <f t="shared" si="23"/>
        <v>0</v>
      </c>
      <c r="P109" s="78">
        <f t="shared" si="23"/>
        <v>516500</v>
      </c>
      <c r="Q109" s="78">
        <f>Q110</f>
        <v>27439789</v>
      </c>
      <c r="R109" s="90"/>
      <c r="T109" s="92"/>
    </row>
    <row r="110" spans="1:20" s="91" customFormat="1" ht="43.95" customHeight="1">
      <c r="A110" s="79" t="s">
        <v>144</v>
      </c>
      <c r="B110" s="79" t="s">
        <v>427</v>
      </c>
      <c r="C110" s="89"/>
      <c r="D110" s="86" t="str">
        <f>D109</f>
        <v>Управління культури і туризму міської ради</v>
      </c>
      <c r="E110" s="85"/>
      <c r="F110" s="87">
        <f>SUM(F111:F120)</f>
        <v>26282289</v>
      </c>
      <c r="G110" s="87">
        <f t="shared" ref="G110:P110" si="24">SUM(G111:G120)</f>
        <v>26282289</v>
      </c>
      <c r="H110" s="87">
        <f t="shared" si="24"/>
        <v>20741650</v>
      </c>
      <c r="I110" s="87">
        <f t="shared" si="24"/>
        <v>1941100</v>
      </c>
      <c r="J110" s="87">
        <f t="shared" si="24"/>
        <v>0</v>
      </c>
      <c r="K110" s="87">
        <f t="shared" si="24"/>
        <v>1157500</v>
      </c>
      <c r="L110" s="87">
        <f t="shared" si="24"/>
        <v>516500</v>
      </c>
      <c r="M110" s="87">
        <f t="shared" si="24"/>
        <v>641000</v>
      </c>
      <c r="N110" s="87">
        <f t="shared" si="24"/>
        <v>169050</v>
      </c>
      <c r="O110" s="87">
        <f t="shared" si="24"/>
        <v>0</v>
      </c>
      <c r="P110" s="87">
        <f t="shared" si="24"/>
        <v>516500</v>
      </c>
      <c r="Q110" s="82">
        <f t="shared" ref="Q110:Q131" si="25">F110+K110</f>
        <v>27439789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50000000000003" customHeight="1">
      <c r="A113" s="66" t="s">
        <v>189</v>
      </c>
      <c r="B113" s="66" t="s">
        <v>428</v>
      </c>
      <c r="C113" s="66" t="s">
        <v>75</v>
      </c>
      <c r="D113" s="119" t="s">
        <v>485</v>
      </c>
      <c r="E113" s="7" t="s">
        <v>12</v>
      </c>
      <c r="F113" s="4">
        <f>G113+J113</f>
        <v>13014298</v>
      </c>
      <c r="G113" s="4">
        <f>12104950+865000+44348</f>
        <v>13014298</v>
      </c>
      <c r="H113" s="47">
        <f>11185050-26000+865000</f>
        <v>12024050</v>
      </c>
      <c r="I113" s="12">
        <v>902900</v>
      </c>
      <c r="J113" s="12"/>
      <c r="K113" s="4">
        <f>M113+P113</f>
        <v>616000</v>
      </c>
      <c r="L113" s="4">
        <v>106000</v>
      </c>
      <c r="M113" s="12">
        <v>510000</v>
      </c>
      <c r="N113" s="4">
        <v>144000</v>
      </c>
      <c r="O113" s="12"/>
      <c r="P113" s="12">
        <v>106000</v>
      </c>
      <c r="Q113" s="4">
        <f>F113+K113</f>
        <v>13630298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3910441</v>
      </c>
      <c r="G115" s="4">
        <f>2784200+160000+14100+15000+24141+913000</f>
        <v>3910441</v>
      </c>
      <c r="H115" s="12">
        <f>1966800+160000</f>
        <v>2126800</v>
      </c>
      <c r="I115" s="12">
        <v>263000</v>
      </c>
      <c r="J115" s="12"/>
      <c r="K115" s="4">
        <f t="shared" si="27"/>
        <v>122000</v>
      </c>
      <c r="L115" s="4">
        <f>15000+37000</f>
        <v>52000</v>
      </c>
      <c r="M115" s="4">
        <v>70000</v>
      </c>
      <c r="N115" s="12">
        <v>22000</v>
      </c>
      <c r="O115" s="12"/>
      <c r="P115" s="12">
        <f>15000+37000</f>
        <v>52000</v>
      </c>
      <c r="Q115" s="4">
        <f t="shared" si="25"/>
        <v>4032441</v>
      </c>
      <c r="T115" s="24"/>
    </row>
    <row r="116" spans="1:20" s="26" customFormat="1" ht="52.2" customHeight="1">
      <c r="A116" s="66" t="s">
        <v>188</v>
      </c>
      <c r="B116" s="66" t="s">
        <v>431</v>
      </c>
      <c r="C116" s="66" t="s">
        <v>85</v>
      </c>
      <c r="D116" s="119" t="s">
        <v>187</v>
      </c>
      <c r="E116" s="7" t="s">
        <v>11</v>
      </c>
      <c r="F116" s="4">
        <f t="shared" si="26"/>
        <v>2170600</v>
      </c>
      <c r="G116" s="4">
        <f>1898900+80000+191700</f>
        <v>2170600</v>
      </c>
      <c r="H116" s="12">
        <f>1594500+80000</f>
        <v>1674500</v>
      </c>
      <c r="I116" s="12">
        <v>288200</v>
      </c>
      <c r="J116" s="12"/>
      <c r="K116" s="4">
        <f t="shared" si="27"/>
        <v>45000</v>
      </c>
      <c r="L116" s="4"/>
      <c r="M116" s="4">
        <v>45000</v>
      </c>
      <c r="N116" s="12">
        <v>3050</v>
      </c>
      <c r="O116" s="12"/>
      <c r="P116" s="12">
        <f>380000-380000</f>
        <v>0</v>
      </c>
      <c r="Q116" s="4">
        <f t="shared" si="25"/>
        <v>2215600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3.75" customHeight="1">
      <c r="A118" s="66" t="s">
        <v>236</v>
      </c>
      <c r="B118" s="66" t="s">
        <v>433</v>
      </c>
      <c r="C118" s="66" t="s">
        <v>84</v>
      </c>
      <c r="D118" s="119" t="s">
        <v>237</v>
      </c>
      <c r="E118" s="7"/>
      <c r="F118" s="4">
        <f t="shared" si="26"/>
        <v>1525600</v>
      </c>
      <c r="G118" s="4">
        <f>1200000+102000+200000+23600</f>
        <v>1525600</v>
      </c>
      <c r="H118" s="12"/>
      <c r="I118" s="12"/>
      <c r="J118" s="12"/>
      <c r="K118" s="4">
        <f t="shared" si="27"/>
        <v>262000</v>
      </c>
      <c r="L118" s="4">
        <f>67000+195000</f>
        <v>262000</v>
      </c>
      <c r="M118" s="12"/>
      <c r="N118" s="4"/>
      <c r="O118" s="12"/>
      <c r="P118" s="12">
        <f>L118</f>
        <v>262000</v>
      </c>
      <c r="Q118" s="4">
        <f t="shared" si="25"/>
        <v>1787600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8">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2"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50000000000003"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5" customHeight="1">
      <c r="A131" s="74" t="s">
        <v>190</v>
      </c>
      <c r="B131" s="74" t="s">
        <v>190</v>
      </c>
      <c r="C131" s="88"/>
      <c r="D131" s="84" t="s">
        <v>34</v>
      </c>
      <c r="E131" s="83" t="s">
        <v>34</v>
      </c>
      <c r="F131" s="77">
        <f>F132</f>
        <v>42835309</v>
      </c>
      <c r="G131" s="77">
        <f>G132</f>
        <v>33895309</v>
      </c>
      <c r="H131" s="78">
        <f>H132</f>
        <v>4317300</v>
      </c>
      <c r="I131" s="78">
        <f>I132</f>
        <v>6194950</v>
      </c>
      <c r="J131" s="78">
        <f t="shared" ref="J131:P131" si="32">J132</f>
        <v>8940000</v>
      </c>
      <c r="K131" s="77">
        <f t="shared" si="32"/>
        <v>60994615.120000005</v>
      </c>
      <c r="L131" s="77">
        <f t="shared" si="32"/>
        <v>59640438</v>
      </c>
      <c r="M131" s="95">
        <f t="shared" si="32"/>
        <v>884177.12</v>
      </c>
      <c r="N131" s="78">
        <f t="shared" si="32"/>
        <v>0</v>
      </c>
      <c r="O131" s="78">
        <f t="shared" si="32"/>
        <v>0</v>
      </c>
      <c r="P131" s="77">
        <f t="shared" si="32"/>
        <v>60110438</v>
      </c>
      <c r="Q131" s="77">
        <f t="shared" si="25"/>
        <v>103829924.12</v>
      </c>
      <c r="T131" s="24"/>
    </row>
    <row r="132" spans="1:20" s="29" customFormat="1" ht="49.95"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SUM(F133:F165)</f>
        <v>42835309</v>
      </c>
      <c r="G132" s="99">
        <f t="shared" si="33"/>
        <v>33895309</v>
      </c>
      <c r="H132" s="100">
        <f t="shared" si="33"/>
        <v>4317300</v>
      </c>
      <c r="I132" s="100">
        <f t="shared" si="33"/>
        <v>6194950</v>
      </c>
      <c r="J132" s="100">
        <f t="shared" si="33"/>
        <v>8940000</v>
      </c>
      <c r="K132" s="99">
        <f>SUM(K133:K165)+K166</f>
        <v>60994615.120000005</v>
      </c>
      <c r="L132" s="99">
        <f t="shared" si="33"/>
        <v>59640438</v>
      </c>
      <c r="M132" s="99">
        <f t="shared" si="33"/>
        <v>884177.12</v>
      </c>
      <c r="N132" s="100">
        <f t="shared" si="33"/>
        <v>0</v>
      </c>
      <c r="O132" s="100">
        <f t="shared" si="33"/>
        <v>0</v>
      </c>
      <c r="P132" s="100">
        <f>SUM(P133:P165)+P166</f>
        <v>60110438</v>
      </c>
      <c r="Q132" s="87">
        <f t="shared" ref="Q132:Q186" si="34">F132+K132</f>
        <v>103829924.12</v>
      </c>
      <c r="T132" s="30"/>
    </row>
    <row r="133" spans="1:20" s="8" customFormat="1" ht="69" customHeight="1">
      <c r="A133" s="66" t="s">
        <v>192</v>
      </c>
      <c r="B133" s="66" t="s">
        <v>358</v>
      </c>
      <c r="C133" s="66" t="s">
        <v>61</v>
      </c>
      <c r="D133" s="117" t="s">
        <v>308</v>
      </c>
      <c r="E133" s="7" t="s">
        <v>2</v>
      </c>
      <c r="F133" s="4">
        <f t="shared" ref="F133:F158" si="35">G133+J133</f>
        <v>4617900</v>
      </c>
      <c r="G133" s="4">
        <f>4407900+210000</f>
        <v>4617900</v>
      </c>
      <c r="H133" s="12">
        <f>4107300+210000</f>
        <v>4317300</v>
      </c>
      <c r="I133" s="12">
        <v>192950</v>
      </c>
      <c r="J133" s="12"/>
      <c r="K133" s="4">
        <f t="shared" ref="K133:K166"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200000000000003"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200000000000003"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200000000000003"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516</v>
      </c>
      <c r="E139" s="7"/>
      <c r="F139" s="4"/>
      <c r="G139" s="4"/>
      <c r="H139" s="12"/>
      <c r="I139" s="12"/>
      <c r="J139" s="12"/>
      <c r="K139" s="4">
        <f>M139+P139</f>
        <v>508839</v>
      </c>
      <c r="L139" s="4">
        <v>508839</v>
      </c>
      <c r="M139" s="53"/>
      <c r="N139" s="4"/>
      <c r="O139" s="12"/>
      <c r="P139" s="12">
        <v>508839</v>
      </c>
      <c r="Q139" s="4">
        <f>F139+K139</f>
        <v>508839</v>
      </c>
      <c r="T139" s="22"/>
    </row>
    <row r="140" spans="1:20" s="8" customFormat="1" ht="34.200000000000003" customHeight="1">
      <c r="A140" s="72">
        <v>1216013</v>
      </c>
      <c r="B140" s="66" t="s">
        <v>441</v>
      </c>
      <c r="C140" s="66" t="s">
        <v>68</v>
      </c>
      <c r="D140" s="118" t="s">
        <v>267</v>
      </c>
      <c r="E140" s="7"/>
      <c r="F140" s="4">
        <f t="shared" si="35"/>
        <v>300000</v>
      </c>
      <c r="G140" s="4">
        <v>300000</v>
      </c>
      <c r="H140" s="12"/>
      <c r="I140" s="12"/>
      <c r="J140" s="12"/>
      <c r="K140" s="4">
        <f t="shared" si="36"/>
        <v>0</v>
      </c>
      <c r="L140" s="4"/>
      <c r="M140" s="53"/>
      <c r="N140" s="4"/>
      <c r="O140" s="12"/>
      <c r="P140" s="12"/>
      <c r="Q140" s="4">
        <f t="shared" si="34"/>
        <v>300000</v>
      </c>
      <c r="T140" s="22"/>
    </row>
    <row r="141" spans="1:20" s="8" customFormat="1" ht="52.95" customHeight="1">
      <c r="A141" s="72">
        <v>1216016</v>
      </c>
      <c r="B141" s="66" t="s">
        <v>476</v>
      </c>
      <c r="C141" s="66" t="s">
        <v>68</v>
      </c>
      <c r="D141" s="118" t="s">
        <v>477</v>
      </c>
      <c r="E141" s="7"/>
      <c r="F141" s="4">
        <f>G141+J141</f>
        <v>0</v>
      </c>
      <c r="G141" s="4"/>
      <c r="H141" s="12"/>
      <c r="I141" s="12"/>
      <c r="J141" s="12">
        <f>300000-300000</f>
        <v>0</v>
      </c>
      <c r="K141" s="4">
        <f>M141+P141</f>
        <v>1500000</v>
      </c>
      <c r="L141" s="4">
        <f>1500000</f>
        <v>1500000</v>
      </c>
      <c r="M141" s="53"/>
      <c r="N141" s="4"/>
      <c r="O141" s="12"/>
      <c r="P141" s="12">
        <f>L141</f>
        <v>1500000</v>
      </c>
      <c r="Q141" s="4">
        <f>F141+K141</f>
        <v>1500000</v>
      </c>
      <c r="T141" s="22"/>
    </row>
    <row r="142" spans="1:20" s="8" customFormat="1" ht="34.200000000000003" hidden="1" customHeight="1">
      <c r="A142" s="72">
        <v>1216017</v>
      </c>
      <c r="B142" s="66" t="s">
        <v>442</v>
      </c>
      <c r="C142" s="66" t="s">
        <v>68</v>
      </c>
      <c r="D142" s="37" t="s">
        <v>289</v>
      </c>
      <c r="E142" s="7"/>
      <c r="F142" s="4">
        <f t="shared" si="35"/>
        <v>0</v>
      </c>
      <c r="G142" s="4"/>
      <c r="H142" s="12"/>
      <c r="I142" s="12"/>
      <c r="J142" s="12"/>
      <c r="K142" s="4">
        <f t="shared" si="36"/>
        <v>0</v>
      </c>
      <c r="L142" s="4"/>
      <c r="M142" s="53"/>
      <c r="N142" s="4"/>
      <c r="O142" s="12"/>
      <c r="P142" s="12"/>
      <c r="Q142" s="4">
        <f t="shared" si="34"/>
        <v>0</v>
      </c>
      <c r="T142" s="22"/>
    </row>
    <row r="143" spans="1:20" s="8" customFormat="1" ht="75.599999999999994" customHeight="1">
      <c r="A143" s="73">
        <v>1216020</v>
      </c>
      <c r="B143" s="66" t="s">
        <v>443</v>
      </c>
      <c r="C143" s="70" t="s">
        <v>68</v>
      </c>
      <c r="D143" s="128" t="s">
        <v>264</v>
      </c>
      <c r="E143" s="7"/>
      <c r="F143" s="4">
        <f t="shared" si="35"/>
        <v>800000</v>
      </c>
      <c r="G143" s="4"/>
      <c r="H143" s="12"/>
      <c r="I143" s="12"/>
      <c r="J143" s="12">
        <f>500000+300000</f>
        <v>800000</v>
      </c>
      <c r="K143" s="4">
        <f t="shared" si="36"/>
        <v>0</v>
      </c>
      <c r="L143" s="4"/>
      <c r="M143" s="53"/>
      <c r="N143" s="4"/>
      <c r="O143" s="12"/>
      <c r="P143" s="12">
        <f>L143</f>
        <v>0</v>
      </c>
      <c r="Q143" s="4">
        <f t="shared" si="34"/>
        <v>800000</v>
      </c>
      <c r="T143" s="22"/>
    </row>
    <row r="144" spans="1:20" s="8" customFormat="1" ht="36.75" customHeight="1">
      <c r="A144" s="66" t="s">
        <v>194</v>
      </c>
      <c r="B144" s="66" t="s">
        <v>444</v>
      </c>
      <c r="C144" s="66" t="s">
        <v>68</v>
      </c>
      <c r="D144" s="119" t="s">
        <v>195</v>
      </c>
      <c r="E144" s="7" t="s">
        <v>46</v>
      </c>
      <c r="F144" s="41">
        <f t="shared" si="35"/>
        <v>20260287</v>
      </c>
      <c r="G144" s="41">
        <f>790000+150000+7200000+160000+1251196+2527126+6002000+800000-8140000+159625+310000+398950+53000+385000+385000+100000+30000+115200+113190+30000-700000</f>
        <v>12120287</v>
      </c>
      <c r="H144" s="12"/>
      <c r="I144" s="12">
        <v>6002000</v>
      </c>
      <c r="J144" s="12">
        <v>8140000</v>
      </c>
      <c r="K144" s="41">
        <f t="shared" si="36"/>
        <v>460612.12</v>
      </c>
      <c r="L144" s="41">
        <f>150000+199750+90000+19000</f>
        <v>458750</v>
      </c>
      <c r="M144" s="53">
        <v>1862.12</v>
      </c>
      <c r="N144" s="4"/>
      <c r="O144" s="12"/>
      <c r="P144" s="50">
        <f>L144</f>
        <v>458750</v>
      </c>
      <c r="Q144" s="41">
        <f t="shared" si="34"/>
        <v>20720899.120000001</v>
      </c>
      <c r="T144" s="22"/>
    </row>
    <row r="145" spans="1:20" s="26" customFormat="1" ht="21" customHeight="1">
      <c r="A145" s="72">
        <v>1217130</v>
      </c>
      <c r="B145" s="66" t="s">
        <v>377</v>
      </c>
      <c r="C145" s="66" t="s">
        <v>70</v>
      </c>
      <c r="D145" s="129" t="s">
        <v>116</v>
      </c>
      <c r="E145" s="13"/>
      <c r="F145" s="4">
        <f t="shared" si="35"/>
        <v>147150</v>
      </c>
      <c r="G145" s="4">
        <f>40000+80150+27000</f>
        <v>147150</v>
      </c>
      <c r="H145" s="54"/>
      <c r="I145" s="54"/>
      <c r="J145" s="4"/>
      <c r="K145" s="4">
        <f t="shared" si="36"/>
        <v>4845</v>
      </c>
      <c r="L145" s="4"/>
      <c r="M145" s="55">
        <v>4845</v>
      </c>
      <c r="N145" s="4"/>
      <c r="O145" s="4"/>
      <c r="P145" s="4"/>
      <c r="Q145" s="4">
        <f t="shared" si="34"/>
        <v>151995</v>
      </c>
      <c r="T145" s="24"/>
    </row>
    <row r="146" spans="1:20" s="8" customFormat="1" ht="34.950000000000003" hidden="1" customHeight="1">
      <c r="A146" s="66" t="s">
        <v>260</v>
      </c>
      <c r="B146" s="66" t="s">
        <v>445</v>
      </c>
      <c r="C146" s="66"/>
      <c r="D146" s="124" t="s">
        <v>500</v>
      </c>
      <c r="E146" s="13" t="s">
        <v>14</v>
      </c>
      <c r="F146" s="4">
        <f t="shared" si="35"/>
        <v>0</v>
      </c>
      <c r="G146" s="4"/>
      <c r="H146" s="12"/>
      <c r="I146" s="12"/>
      <c r="J146" s="12"/>
      <c r="K146" s="4">
        <f t="shared" si="36"/>
        <v>0</v>
      </c>
      <c r="L146" s="4"/>
      <c r="M146" s="53"/>
      <c r="N146" s="4"/>
      <c r="O146" s="12"/>
      <c r="P146" s="12">
        <f t="shared" ref="P146:P151" si="37">L146</f>
        <v>0</v>
      </c>
      <c r="Q146" s="4">
        <f t="shared" si="34"/>
        <v>0</v>
      </c>
      <c r="T146" s="22"/>
    </row>
    <row r="147" spans="1:20" s="8" customFormat="1" ht="40.5" customHeight="1">
      <c r="A147" s="66" t="s">
        <v>261</v>
      </c>
      <c r="B147" s="66" t="s">
        <v>392</v>
      </c>
      <c r="C147" s="67" t="s">
        <v>83</v>
      </c>
      <c r="D147" s="10" t="s">
        <v>501</v>
      </c>
      <c r="E147" s="13"/>
      <c r="F147" s="4">
        <f t="shared" si="35"/>
        <v>0</v>
      </c>
      <c r="G147" s="4"/>
      <c r="H147" s="12"/>
      <c r="I147" s="12"/>
      <c r="J147" s="12"/>
      <c r="K147" s="4">
        <f t="shared" si="36"/>
        <v>5439300</v>
      </c>
      <c r="L147" s="4">
        <f>5439300</f>
        <v>5439300</v>
      </c>
      <c r="M147" s="53"/>
      <c r="N147" s="4"/>
      <c r="O147" s="12"/>
      <c r="P147" s="12">
        <f t="shared" si="37"/>
        <v>5439300</v>
      </c>
      <c r="Q147" s="4">
        <f t="shared" si="34"/>
        <v>5439300</v>
      </c>
      <c r="T147" s="22"/>
    </row>
    <row r="148" spans="1:20" s="8" customFormat="1" ht="35.4" customHeight="1">
      <c r="A148" s="66" t="s">
        <v>262</v>
      </c>
      <c r="B148" s="66" t="s">
        <v>447</v>
      </c>
      <c r="C148" s="67" t="s">
        <v>83</v>
      </c>
      <c r="D148" s="10" t="s">
        <v>494</v>
      </c>
      <c r="E148" s="13"/>
      <c r="F148" s="4">
        <f t="shared" si="35"/>
        <v>0</v>
      </c>
      <c r="G148" s="4"/>
      <c r="H148" s="12"/>
      <c r="I148" s="12"/>
      <c r="J148" s="12"/>
      <c r="K148" s="4">
        <f t="shared" si="36"/>
        <v>4000000</v>
      </c>
      <c r="L148" s="4">
        <v>4000000</v>
      </c>
      <c r="M148" s="53"/>
      <c r="N148" s="4"/>
      <c r="O148" s="12"/>
      <c r="P148" s="12">
        <f t="shared" si="37"/>
        <v>4000000</v>
      </c>
      <c r="Q148" s="4">
        <f t="shared" si="34"/>
        <v>4000000</v>
      </c>
      <c r="T148" s="22"/>
    </row>
    <row r="149" spans="1:20" s="8" customFormat="1" ht="3" hidden="1" customHeight="1">
      <c r="A149" s="66" t="s">
        <v>262</v>
      </c>
      <c r="B149" s="66" t="s">
        <v>447</v>
      </c>
      <c r="C149" s="66" t="s">
        <v>83</v>
      </c>
      <c r="D149" s="40" t="s">
        <v>306</v>
      </c>
      <c r="E149" s="7"/>
      <c r="F149" s="4">
        <f t="shared" si="35"/>
        <v>0</v>
      </c>
      <c r="G149" s="4"/>
      <c r="H149" s="12"/>
      <c r="I149" s="12"/>
      <c r="J149" s="12"/>
      <c r="K149" s="4">
        <f t="shared" si="36"/>
        <v>0</v>
      </c>
      <c r="L149" s="4"/>
      <c r="M149" s="53"/>
      <c r="N149" s="4"/>
      <c r="O149" s="12"/>
      <c r="P149" s="12">
        <f t="shared" si="37"/>
        <v>0</v>
      </c>
      <c r="Q149" s="4">
        <f t="shared" si="34"/>
        <v>0</v>
      </c>
      <c r="T149" s="22"/>
    </row>
    <row r="150" spans="1:20" s="8" customFormat="1" ht="39" customHeight="1">
      <c r="A150" s="66" t="s">
        <v>263</v>
      </c>
      <c r="B150" s="66" t="s">
        <v>448</v>
      </c>
      <c r="C150" s="66" t="s">
        <v>83</v>
      </c>
      <c r="D150" s="10" t="s">
        <v>502</v>
      </c>
      <c r="E150" s="7"/>
      <c r="F150" s="4">
        <f t="shared" si="35"/>
        <v>0</v>
      </c>
      <c r="G150" s="4"/>
      <c r="H150" s="12"/>
      <c r="I150" s="12"/>
      <c r="J150" s="12"/>
      <c r="K150" s="4">
        <f t="shared" si="36"/>
        <v>15443053</v>
      </c>
      <c r="L150" s="4">
        <f>9765668+4976385+120000+244190+166810+170000</f>
        <v>15443053</v>
      </c>
      <c r="M150" s="53"/>
      <c r="N150" s="4"/>
      <c r="O150" s="12"/>
      <c r="P150" s="12">
        <f t="shared" si="37"/>
        <v>15443053</v>
      </c>
      <c r="Q150" s="4">
        <f t="shared" si="34"/>
        <v>15443053</v>
      </c>
      <c r="T150" s="22"/>
    </row>
    <row r="151" spans="1:20" s="8" customFormat="1" ht="38.25" customHeight="1">
      <c r="A151" s="66" t="s">
        <v>283</v>
      </c>
      <c r="B151" s="66" t="s">
        <v>449</v>
      </c>
      <c r="C151" s="66" t="s">
        <v>83</v>
      </c>
      <c r="D151" s="10" t="s">
        <v>303</v>
      </c>
      <c r="E151" s="7"/>
      <c r="F151" s="4">
        <f t="shared" si="35"/>
        <v>0</v>
      </c>
      <c r="G151" s="4"/>
      <c r="H151" s="12"/>
      <c r="I151" s="12"/>
      <c r="J151" s="12"/>
      <c r="K151" s="4">
        <f t="shared" si="36"/>
        <v>30000</v>
      </c>
      <c r="L151" s="4">
        <f>1966000-1936000</f>
        <v>30000</v>
      </c>
      <c r="M151" s="53"/>
      <c r="N151" s="4"/>
      <c r="O151" s="12"/>
      <c r="P151" s="12">
        <f t="shared" si="37"/>
        <v>30000</v>
      </c>
      <c r="Q151" s="4">
        <f t="shared" si="34"/>
        <v>30000</v>
      </c>
      <c r="T151" s="22"/>
    </row>
    <row r="152" spans="1:20" s="8" customFormat="1" ht="31.95" hidden="1" customHeight="1">
      <c r="A152" s="66" t="s">
        <v>196</v>
      </c>
      <c r="B152" s="66" t="s">
        <v>450</v>
      </c>
      <c r="C152" s="66" t="s">
        <v>83</v>
      </c>
      <c r="D152" s="119" t="s">
        <v>197</v>
      </c>
      <c r="E152" s="7" t="s">
        <v>15</v>
      </c>
      <c r="F152" s="4">
        <f t="shared" si="35"/>
        <v>0</v>
      </c>
      <c r="G152" s="4"/>
      <c r="H152" s="12"/>
      <c r="I152" s="12"/>
      <c r="J152" s="12"/>
      <c r="K152" s="4">
        <f t="shared" si="36"/>
        <v>0</v>
      </c>
      <c r="L152" s="4"/>
      <c r="M152" s="53"/>
      <c r="N152" s="4"/>
      <c r="O152" s="12"/>
      <c r="P152" s="12">
        <f t="shared" ref="P152:P157" si="38">L152</f>
        <v>0</v>
      </c>
      <c r="Q152" s="4">
        <f t="shared" si="34"/>
        <v>0</v>
      </c>
      <c r="T152" s="22"/>
    </row>
    <row r="153" spans="1:20" s="8" customFormat="1" ht="48.6" hidden="1" customHeight="1">
      <c r="A153" s="66" t="s">
        <v>272</v>
      </c>
      <c r="B153" s="66" t="s">
        <v>451</v>
      </c>
      <c r="C153" s="66" t="s">
        <v>210</v>
      </c>
      <c r="D153" s="10" t="s">
        <v>273</v>
      </c>
      <c r="E153" s="7"/>
      <c r="F153" s="4">
        <f t="shared" si="35"/>
        <v>0</v>
      </c>
      <c r="G153" s="4"/>
      <c r="H153" s="12"/>
      <c r="I153" s="12"/>
      <c r="J153" s="12"/>
      <c r="K153" s="4">
        <f t="shared" si="36"/>
        <v>0</v>
      </c>
      <c r="L153" s="4"/>
      <c r="M153" s="53"/>
      <c r="N153" s="4"/>
      <c r="O153" s="12"/>
      <c r="P153" s="12">
        <f t="shared" si="38"/>
        <v>0</v>
      </c>
      <c r="Q153" s="4">
        <f t="shared" si="34"/>
        <v>0</v>
      </c>
      <c r="T153" s="22"/>
    </row>
    <row r="154" spans="1:20" s="8" customFormat="1" ht="48.6" hidden="1" customHeight="1">
      <c r="A154" s="66" t="s">
        <v>333</v>
      </c>
      <c r="B154" s="66" t="s">
        <v>452</v>
      </c>
      <c r="C154" s="66" t="s">
        <v>210</v>
      </c>
      <c r="D154" s="10" t="s">
        <v>334</v>
      </c>
      <c r="E154" s="7"/>
      <c r="F154" s="4">
        <f t="shared" si="35"/>
        <v>0</v>
      </c>
      <c r="G154" s="4"/>
      <c r="H154" s="12"/>
      <c r="I154" s="12"/>
      <c r="J154" s="12"/>
      <c r="K154" s="4">
        <f t="shared" si="36"/>
        <v>0</v>
      </c>
      <c r="L154" s="4"/>
      <c r="M154" s="53"/>
      <c r="N154" s="4"/>
      <c r="O154" s="12"/>
      <c r="P154" s="12">
        <f t="shared" si="38"/>
        <v>0</v>
      </c>
      <c r="Q154" s="4">
        <f t="shared" si="34"/>
        <v>0</v>
      </c>
      <c r="T154" s="22"/>
    </row>
    <row r="155" spans="1:20" s="8" customFormat="1" ht="48.6" hidden="1" customHeight="1">
      <c r="A155" s="66" t="s">
        <v>275</v>
      </c>
      <c r="B155" s="66" t="s">
        <v>378</v>
      </c>
      <c r="C155" s="66" t="s">
        <v>210</v>
      </c>
      <c r="D155" s="10" t="s">
        <v>276</v>
      </c>
      <c r="E155" s="7"/>
      <c r="F155" s="4">
        <f t="shared" si="35"/>
        <v>0</v>
      </c>
      <c r="G155" s="4"/>
      <c r="H155" s="12"/>
      <c r="I155" s="12"/>
      <c r="J155" s="12"/>
      <c r="K155" s="4">
        <f t="shared" si="36"/>
        <v>0</v>
      </c>
      <c r="L155" s="41"/>
      <c r="M155" s="53"/>
      <c r="N155" s="41"/>
      <c r="O155" s="50"/>
      <c r="P155" s="50">
        <f t="shared" si="38"/>
        <v>0</v>
      </c>
      <c r="Q155" s="4">
        <f t="shared" si="34"/>
        <v>0</v>
      </c>
      <c r="T155" s="22"/>
    </row>
    <row r="156" spans="1:20" s="8" customFormat="1" ht="60" customHeight="1">
      <c r="A156" s="66" t="s">
        <v>196</v>
      </c>
      <c r="B156" s="66" t="s">
        <v>450</v>
      </c>
      <c r="C156" s="66" t="s">
        <v>83</v>
      </c>
      <c r="D156" s="10" t="s">
        <v>463</v>
      </c>
      <c r="E156" s="7"/>
      <c r="F156" s="4">
        <f t="shared" si="35"/>
        <v>0</v>
      </c>
      <c r="G156" s="4"/>
      <c r="H156" s="12"/>
      <c r="I156" s="12"/>
      <c r="J156" s="12"/>
      <c r="K156" s="4">
        <f t="shared" si="36"/>
        <v>55300</v>
      </c>
      <c r="L156" s="41">
        <f>55300</f>
        <v>55300</v>
      </c>
      <c r="M156" s="53"/>
      <c r="N156" s="41"/>
      <c r="O156" s="50"/>
      <c r="P156" s="50">
        <f t="shared" si="38"/>
        <v>55300</v>
      </c>
      <c r="Q156" s="4">
        <f t="shared" si="34"/>
        <v>55300</v>
      </c>
      <c r="T156" s="22"/>
    </row>
    <row r="157" spans="1:20" s="8" customFormat="1" ht="57" customHeight="1">
      <c r="A157" s="66" t="s">
        <v>271</v>
      </c>
      <c r="B157" s="66" t="s">
        <v>453</v>
      </c>
      <c r="C157" s="66" t="s">
        <v>257</v>
      </c>
      <c r="D157" s="63" t="s">
        <v>270</v>
      </c>
      <c r="E157" s="7"/>
      <c r="F157" s="41">
        <f t="shared" si="35"/>
        <v>15984972</v>
      </c>
      <c r="G157" s="41">
        <v>15984972</v>
      </c>
      <c r="H157" s="12"/>
      <c r="I157" s="12"/>
      <c r="J157" s="12"/>
      <c r="K157" s="41">
        <f t="shared" si="36"/>
        <v>25894631</v>
      </c>
      <c r="L157" s="4">
        <v>25886197</v>
      </c>
      <c r="M157" s="53">
        <f>8434</f>
        <v>8434</v>
      </c>
      <c r="N157" s="4"/>
      <c r="O157" s="12"/>
      <c r="P157" s="12">
        <f t="shared" si="38"/>
        <v>25886197</v>
      </c>
      <c r="Q157" s="41">
        <f t="shared" si="34"/>
        <v>41879603</v>
      </c>
      <c r="T157" s="22"/>
    </row>
    <row r="158" spans="1:20" s="8" customFormat="1" ht="44.4" customHeight="1">
      <c r="A158" s="66" t="s">
        <v>478</v>
      </c>
      <c r="B158" s="66" t="s">
        <v>465</v>
      </c>
      <c r="C158" s="66" t="s">
        <v>466</v>
      </c>
      <c r="D158" s="119" t="s">
        <v>467</v>
      </c>
      <c r="E158" s="13"/>
      <c r="F158" s="4">
        <f t="shared" si="35"/>
        <v>5000</v>
      </c>
      <c r="G158" s="48">
        <v>5000</v>
      </c>
      <c r="H158" s="49"/>
      <c r="I158" s="49"/>
      <c r="J158" s="49"/>
      <c r="K158" s="4">
        <f t="shared" si="36"/>
        <v>0</v>
      </c>
      <c r="L158" s="48"/>
      <c r="M158" s="48"/>
      <c r="N158" s="48"/>
      <c r="O158" s="49"/>
      <c r="P158" s="49"/>
      <c r="Q158" s="4">
        <f>F158+K158</f>
        <v>5000</v>
      </c>
      <c r="T158" s="22"/>
    </row>
    <row r="159" spans="1:20" s="8" customFormat="1" ht="21" customHeight="1">
      <c r="A159" s="66" t="s">
        <v>479</v>
      </c>
      <c r="B159" s="66" t="s">
        <v>380</v>
      </c>
      <c r="C159" s="66" t="s">
        <v>86</v>
      </c>
      <c r="D159" s="119" t="s">
        <v>141</v>
      </c>
      <c r="E159" s="7"/>
      <c r="F159" s="4">
        <f t="shared" ref="F159:F166" si="39">G159+J159</f>
        <v>0</v>
      </c>
      <c r="G159" s="4"/>
      <c r="H159" s="12"/>
      <c r="I159" s="12"/>
      <c r="J159" s="12"/>
      <c r="K159" s="4">
        <f t="shared" si="36"/>
        <v>1248999</v>
      </c>
      <c r="L159" s="4">
        <v>1248999</v>
      </c>
      <c r="M159" s="53"/>
      <c r="N159" s="4"/>
      <c r="O159" s="12"/>
      <c r="P159" s="12">
        <v>1248999</v>
      </c>
      <c r="Q159" s="4">
        <f t="shared" si="34"/>
        <v>1248999</v>
      </c>
      <c r="T159" s="22"/>
    </row>
    <row r="160" spans="1:20" s="8" customFormat="1" ht="42.6" customHeight="1">
      <c r="A160" s="66" t="s">
        <v>254</v>
      </c>
      <c r="B160" s="66" t="s">
        <v>381</v>
      </c>
      <c r="C160" s="66" t="s">
        <v>210</v>
      </c>
      <c r="D160" s="119" t="s">
        <v>304</v>
      </c>
      <c r="E160" s="7"/>
      <c r="F160" s="4">
        <f t="shared" si="39"/>
        <v>0</v>
      </c>
      <c r="G160" s="4"/>
      <c r="H160" s="12"/>
      <c r="I160" s="12"/>
      <c r="J160" s="12"/>
      <c r="K160" s="4">
        <f>M160+P160</f>
        <v>5070000</v>
      </c>
      <c r="L160" s="4">
        <f>2250000+270000+1050000+1500000</f>
        <v>5070000</v>
      </c>
      <c r="M160" s="53"/>
      <c r="N160" s="4"/>
      <c r="O160" s="12"/>
      <c r="P160" s="12">
        <f>2250000+270000+1050000+1500000</f>
        <v>5070000</v>
      </c>
      <c r="Q160" s="4">
        <f>F160+K160</f>
        <v>5070000</v>
      </c>
      <c r="T160" s="22"/>
    </row>
    <row r="161" spans="1:20" s="8" customFormat="1" ht="42.6" customHeight="1">
      <c r="A161" s="66" t="s">
        <v>506</v>
      </c>
      <c r="B161" s="66" t="s">
        <v>507</v>
      </c>
      <c r="C161" s="66" t="s">
        <v>210</v>
      </c>
      <c r="D161" s="119" t="s">
        <v>508</v>
      </c>
      <c r="E161" s="7"/>
      <c r="F161" s="4">
        <f>G161</f>
        <v>142000</v>
      </c>
      <c r="G161" s="4">
        <v>142000</v>
      </c>
      <c r="H161" s="12"/>
      <c r="I161" s="12"/>
      <c r="J161" s="12"/>
      <c r="K161" s="4"/>
      <c r="L161" s="4"/>
      <c r="M161" s="53"/>
      <c r="N161" s="4"/>
      <c r="O161" s="12"/>
      <c r="P161" s="12"/>
      <c r="Q161" s="4"/>
      <c r="T161" s="22"/>
    </row>
    <row r="162" spans="1:20" s="8" customFormat="1" ht="61.2" customHeight="1">
      <c r="A162" s="66" t="s">
        <v>198</v>
      </c>
      <c r="B162" s="66" t="s">
        <v>383</v>
      </c>
      <c r="C162" s="66" t="s">
        <v>71</v>
      </c>
      <c r="D162" s="119" t="s">
        <v>238</v>
      </c>
      <c r="E162" s="7" t="s">
        <v>39</v>
      </c>
      <c r="F162" s="4">
        <f t="shared" si="39"/>
        <v>60000</v>
      </c>
      <c r="G162" s="4">
        <v>60000</v>
      </c>
      <c r="H162" s="12"/>
      <c r="I162" s="12"/>
      <c r="J162" s="12"/>
      <c r="K162" s="4">
        <f t="shared" si="36"/>
        <v>0</v>
      </c>
      <c r="L162" s="4"/>
      <c r="M162" s="53"/>
      <c r="N162" s="4"/>
      <c r="O162" s="12"/>
      <c r="P162" s="12">
        <f>L162</f>
        <v>0</v>
      </c>
      <c r="Q162" s="4">
        <f t="shared" si="34"/>
        <v>60000</v>
      </c>
      <c r="T162" s="22"/>
    </row>
    <row r="163" spans="1:20" s="8" customFormat="1" ht="19.95" customHeight="1">
      <c r="A163" s="66" t="s">
        <v>199</v>
      </c>
      <c r="B163" s="66" t="s">
        <v>394</v>
      </c>
      <c r="C163" s="66" t="s">
        <v>71</v>
      </c>
      <c r="D163" s="119" t="s">
        <v>200</v>
      </c>
      <c r="E163" s="7" t="s">
        <v>19</v>
      </c>
      <c r="F163" s="4">
        <f t="shared" si="39"/>
        <v>100000</v>
      </c>
      <c r="G163" s="4">
        <v>100000</v>
      </c>
      <c r="H163" s="12"/>
      <c r="I163" s="12"/>
      <c r="J163" s="12"/>
      <c r="K163" s="4">
        <f t="shared" si="36"/>
        <v>0</v>
      </c>
      <c r="L163" s="4"/>
      <c r="M163" s="53"/>
      <c r="N163" s="4"/>
      <c r="O163" s="12"/>
      <c r="P163" s="12"/>
      <c r="Q163" s="4">
        <f t="shared" si="34"/>
        <v>100000</v>
      </c>
      <c r="T163" s="22"/>
    </row>
    <row r="164" spans="1:20" s="8" customFormat="1" ht="36.6" customHeight="1">
      <c r="A164" s="68" t="s">
        <v>480</v>
      </c>
      <c r="B164" s="68" t="s">
        <v>469</v>
      </c>
      <c r="C164" s="68" t="s">
        <v>470</v>
      </c>
      <c r="D164" s="120" t="s">
        <v>471</v>
      </c>
      <c r="E164" s="7" t="s">
        <v>4</v>
      </c>
      <c r="F164" s="48">
        <f t="shared" si="39"/>
        <v>300000</v>
      </c>
      <c r="G164" s="48">
        <v>300000</v>
      </c>
      <c r="H164" s="49"/>
      <c r="I164" s="49"/>
      <c r="J164" s="49"/>
      <c r="K164" s="4">
        <f t="shared" si="36"/>
        <v>0</v>
      </c>
      <c r="L164" s="48"/>
      <c r="M164" s="48"/>
      <c r="N164" s="48"/>
      <c r="O164" s="49"/>
      <c r="P164" s="49"/>
      <c r="Q164" s="4">
        <f t="shared" si="34"/>
        <v>300000</v>
      </c>
      <c r="T164" s="22"/>
    </row>
    <row r="165" spans="1:20" s="8" customFormat="1" ht="43.2" customHeight="1">
      <c r="A165" s="66" t="s">
        <v>208</v>
      </c>
      <c r="B165" s="66" t="s">
        <v>454</v>
      </c>
      <c r="C165" s="66" t="s">
        <v>201</v>
      </c>
      <c r="D165" s="119" t="s">
        <v>209</v>
      </c>
      <c r="E165" s="7" t="s">
        <v>56</v>
      </c>
      <c r="F165" s="4">
        <f t="shared" si="39"/>
        <v>0</v>
      </c>
      <c r="G165" s="4"/>
      <c r="H165" s="12"/>
      <c r="I165" s="12"/>
      <c r="J165" s="12"/>
      <c r="K165" s="41">
        <f t="shared" si="36"/>
        <v>769036</v>
      </c>
      <c r="L165" s="4"/>
      <c r="M165" s="53">
        <f>562900+206136</f>
        <v>769036</v>
      </c>
      <c r="N165" s="4"/>
      <c r="O165" s="12"/>
      <c r="P165" s="12"/>
      <c r="Q165" s="41">
        <f t="shared" si="34"/>
        <v>769036</v>
      </c>
      <c r="T165" s="22"/>
    </row>
    <row r="166" spans="1:20" s="8" customFormat="1" ht="43.2" customHeight="1">
      <c r="A166" s="66" t="s">
        <v>509</v>
      </c>
      <c r="B166" s="66" t="s">
        <v>510</v>
      </c>
      <c r="C166" s="66" t="s">
        <v>511</v>
      </c>
      <c r="D166" s="119" t="s">
        <v>512</v>
      </c>
      <c r="E166" s="7"/>
      <c r="F166" s="4">
        <f t="shared" si="39"/>
        <v>0</v>
      </c>
      <c r="G166" s="4"/>
      <c r="H166" s="12"/>
      <c r="I166" s="12"/>
      <c r="J166" s="12"/>
      <c r="K166" s="41">
        <f t="shared" si="36"/>
        <v>370000</v>
      </c>
      <c r="L166" s="4"/>
      <c r="M166" s="53"/>
      <c r="N166" s="4"/>
      <c r="O166" s="12"/>
      <c r="P166" s="12">
        <v>370000</v>
      </c>
      <c r="Q166" s="41">
        <f t="shared" si="34"/>
        <v>370000</v>
      </c>
      <c r="T166" s="22"/>
    </row>
    <row r="167" spans="1:20" s="8" customFormat="1" ht="52.95" customHeight="1">
      <c r="A167" s="74" t="s">
        <v>345</v>
      </c>
      <c r="B167" s="101">
        <v>3100000</v>
      </c>
      <c r="C167" s="74"/>
      <c r="D167" s="102" t="s">
        <v>495</v>
      </c>
      <c r="E167" s="83"/>
      <c r="F167" s="77">
        <f>F168</f>
        <v>3178400</v>
      </c>
      <c r="G167" s="77">
        <f t="shared" ref="G167:P167" si="40">G168</f>
        <v>3178400</v>
      </c>
      <c r="H167" s="78">
        <f t="shared" si="40"/>
        <v>2875700</v>
      </c>
      <c r="I167" s="78">
        <f t="shared" si="40"/>
        <v>81250</v>
      </c>
      <c r="J167" s="78">
        <f t="shared" si="40"/>
        <v>0</v>
      </c>
      <c r="K167" s="78">
        <f t="shared" si="40"/>
        <v>36000</v>
      </c>
      <c r="L167" s="78">
        <f t="shared" si="40"/>
        <v>36000</v>
      </c>
      <c r="M167" s="78">
        <f t="shared" si="40"/>
        <v>0</v>
      </c>
      <c r="N167" s="78">
        <f t="shared" si="40"/>
        <v>0</v>
      </c>
      <c r="O167" s="78">
        <f t="shared" si="40"/>
        <v>0</v>
      </c>
      <c r="P167" s="78">
        <f t="shared" si="40"/>
        <v>36000</v>
      </c>
      <c r="Q167" s="78">
        <f>F167+K167</f>
        <v>3214400</v>
      </c>
      <c r="T167" s="22"/>
    </row>
    <row r="168" spans="1:20" s="8" customFormat="1" ht="39" customHeight="1">
      <c r="A168" s="79" t="s">
        <v>346</v>
      </c>
      <c r="B168" s="103">
        <v>3110000</v>
      </c>
      <c r="C168" s="79"/>
      <c r="D168" s="104" t="str">
        <f>D167</f>
        <v>Управління комунального майна  та земельних відносин</v>
      </c>
      <c r="E168" s="85"/>
      <c r="F168" s="87">
        <f>SUM(F169:F174)</f>
        <v>3178400</v>
      </c>
      <c r="G168" s="87">
        <f t="shared" ref="G168:P168" si="41">SUM(G169:G174)</f>
        <v>3178400</v>
      </c>
      <c r="H168" s="87">
        <f t="shared" si="41"/>
        <v>2875700</v>
      </c>
      <c r="I168" s="87">
        <f t="shared" si="41"/>
        <v>81250</v>
      </c>
      <c r="J168" s="87">
        <f t="shared" si="41"/>
        <v>0</v>
      </c>
      <c r="K168" s="87">
        <f t="shared" si="41"/>
        <v>36000</v>
      </c>
      <c r="L168" s="87">
        <f t="shared" si="41"/>
        <v>36000</v>
      </c>
      <c r="M168" s="87">
        <f t="shared" si="41"/>
        <v>0</v>
      </c>
      <c r="N168" s="87">
        <f t="shared" si="41"/>
        <v>0</v>
      </c>
      <c r="O168" s="87">
        <f t="shared" si="41"/>
        <v>0</v>
      </c>
      <c r="P168" s="87">
        <f t="shared" si="41"/>
        <v>36000</v>
      </c>
      <c r="Q168" s="82">
        <f t="shared" ref="Q168:Q174" si="42">F168+K168</f>
        <v>3214400</v>
      </c>
      <c r="T168" s="22"/>
    </row>
    <row r="169" spans="1:20" s="8" customFormat="1" ht="73.95" customHeight="1">
      <c r="A169" s="66" t="s">
        <v>347</v>
      </c>
      <c r="B169" s="66" t="s">
        <v>358</v>
      </c>
      <c r="C169" s="66" t="s">
        <v>61</v>
      </c>
      <c r="D169" s="117" t="s">
        <v>305</v>
      </c>
      <c r="E169" s="7"/>
      <c r="F169" s="4">
        <f>G169</f>
        <v>3042400</v>
      </c>
      <c r="G169" s="4">
        <f>2905400+137000</f>
        <v>3042400</v>
      </c>
      <c r="H169" s="12">
        <f>2738700+137000</f>
        <v>2875700</v>
      </c>
      <c r="I169" s="12">
        <f>77350+3900</f>
        <v>81250</v>
      </c>
      <c r="J169" s="12"/>
      <c r="K169" s="4">
        <f t="shared" ref="K169:K174" si="43">M169+P169</f>
        <v>0</v>
      </c>
      <c r="L169" s="4"/>
      <c r="M169" s="53"/>
      <c r="N169" s="4"/>
      <c r="O169" s="12"/>
      <c r="P169" s="12">
        <f>L169</f>
        <v>0</v>
      </c>
      <c r="Q169" s="4">
        <f t="shared" si="42"/>
        <v>3042400</v>
      </c>
      <c r="T169" s="22"/>
    </row>
    <row r="170" spans="1:20" s="8" customFormat="1" ht="36" customHeight="1">
      <c r="A170" s="66" t="s">
        <v>348</v>
      </c>
      <c r="B170" s="66" t="s">
        <v>280</v>
      </c>
      <c r="C170" s="66" t="s">
        <v>72</v>
      </c>
      <c r="D170" s="117" t="s">
        <v>139</v>
      </c>
      <c r="E170" s="7"/>
      <c r="F170" s="41">
        <f>G170</f>
        <v>36000</v>
      </c>
      <c r="G170" s="41">
        <f>35000+1000</f>
        <v>36000</v>
      </c>
      <c r="H170" s="12"/>
      <c r="I170" s="12"/>
      <c r="J170" s="12"/>
      <c r="K170" s="4">
        <f t="shared" si="43"/>
        <v>0</v>
      </c>
      <c r="L170" s="4"/>
      <c r="M170" s="53"/>
      <c r="N170" s="4"/>
      <c r="O170" s="12"/>
      <c r="P170" s="12"/>
      <c r="Q170" s="4">
        <f t="shared" si="42"/>
        <v>36000</v>
      </c>
      <c r="T170" s="22"/>
    </row>
    <row r="171" spans="1:20" s="8" customFormat="1" ht="20.25" customHeight="1">
      <c r="A171" s="66" t="s">
        <v>349</v>
      </c>
      <c r="B171" s="66" t="s">
        <v>377</v>
      </c>
      <c r="C171" s="66" t="s">
        <v>70</v>
      </c>
      <c r="D171" s="129" t="s">
        <v>116</v>
      </c>
      <c r="E171" s="7"/>
      <c r="F171" s="41">
        <f>G171</f>
        <v>65000</v>
      </c>
      <c r="G171" s="41">
        <v>65000</v>
      </c>
      <c r="H171" s="12"/>
      <c r="I171" s="12"/>
      <c r="J171" s="12"/>
      <c r="K171" s="4">
        <f t="shared" si="43"/>
        <v>0</v>
      </c>
      <c r="L171" s="4"/>
      <c r="M171" s="53"/>
      <c r="N171" s="4"/>
      <c r="O171" s="12"/>
      <c r="P171" s="12"/>
      <c r="Q171" s="4">
        <f t="shared" si="42"/>
        <v>65000</v>
      </c>
      <c r="T171" s="22"/>
    </row>
    <row r="172" spans="1:20" s="8" customFormat="1" ht="37.950000000000003" customHeight="1">
      <c r="A172" s="66" t="s">
        <v>350</v>
      </c>
      <c r="B172" s="66" t="s">
        <v>455</v>
      </c>
      <c r="C172" s="66" t="s">
        <v>210</v>
      </c>
      <c r="D172" s="118" t="s">
        <v>265</v>
      </c>
      <c r="E172" s="7"/>
      <c r="F172" s="4">
        <f>G172</f>
        <v>0</v>
      </c>
      <c r="G172" s="4"/>
      <c r="H172" s="12"/>
      <c r="I172" s="12"/>
      <c r="J172" s="12"/>
      <c r="K172" s="4">
        <f t="shared" si="43"/>
        <v>11000</v>
      </c>
      <c r="L172" s="4">
        <v>11000</v>
      </c>
      <c r="M172" s="53"/>
      <c r="N172" s="4"/>
      <c r="O172" s="12"/>
      <c r="P172" s="12">
        <f>L172</f>
        <v>11000</v>
      </c>
      <c r="Q172" s="4">
        <f t="shared" si="42"/>
        <v>11000</v>
      </c>
      <c r="T172" s="22"/>
    </row>
    <row r="173" spans="1:20" s="8" customFormat="1" ht="39" customHeight="1">
      <c r="A173" s="66" t="s">
        <v>481</v>
      </c>
      <c r="B173" s="66" t="s">
        <v>465</v>
      </c>
      <c r="C173" s="66" t="s">
        <v>466</v>
      </c>
      <c r="D173" s="119" t="s">
        <v>467</v>
      </c>
      <c r="E173" s="7"/>
      <c r="F173" s="4">
        <f>G173+J173</f>
        <v>35000</v>
      </c>
      <c r="G173" s="4">
        <v>35000</v>
      </c>
      <c r="H173" s="12"/>
      <c r="I173" s="12"/>
      <c r="J173" s="12"/>
      <c r="K173" s="4">
        <f t="shared" si="43"/>
        <v>25000</v>
      </c>
      <c r="L173" s="4">
        <v>25000</v>
      </c>
      <c r="M173" s="4"/>
      <c r="N173" s="4"/>
      <c r="O173" s="12"/>
      <c r="P173" s="12">
        <v>25000</v>
      </c>
      <c r="Q173" s="4">
        <f>F173+K173</f>
        <v>60000</v>
      </c>
      <c r="T173" s="22"/>
    </row>
    <row r="174" spans="1:20" s="8" customFormat="1" ht="81.75" hidden="1" customHeight="1">
      <c r="A174" s="66" t="s">
        <v>351</v>
      </c>
      <c r="B174" s="66" t="s">
        <v>456</v>
      </c>
      <c r="C174" s="66" t="s">
        <v>210</v>
      </c>
      <c r="D174" s="38" t="s">
        <v>256</v>
      </c>
      <c r="E174" s="7"/>
      <c r="F174" s="4">
        <f>G174</f>
        <v>0</v>
      </c>
      <c r="G174" s="4"/>
      <c r="H174" s="12"/>
      <c r="I174" s="12"/>
      <c r="J174" s="12"/>
      <c r="K174" s="4">
        <f t="shared" si="43"/>
        <v>0</v>
      </c>
      <c r="L174" s="4"/>
      <c r="M174" s="53"/>
      <c r="N174" s="4"/>
      <c r="O174" s="12"/>
      <c r="P174" s="12">
        <f>L174</f>
        <v>0</v>
      </c>
      <c r="Q174" s="4">
        <f t="shared" si="42"/>
        <v>0</v>
      </c>
      <c r="T174" s="22"/>
    </row>
    <row r="175" spans="1:20" s="26" customFormat="1" ht="42.6" customHeight="1">
      <c r="A175" s="74" t="s">
        <v>202</v>
      </c>
      <c r="B175" s="105">
        <v>3700000</v>
      </c>
      <c r="C175" s="83"/>
      <c r="D175" s="84" t="s">
        <v>5</v>
      </c>
      <c r="E175" s="83" t="s">
        <v>5</v>
      </c>
      <c r="F175" s="106">
        <f>F176</f>
        <v>14376259</v>
      </c>
      <c r="G175" s="106">
        <f t="shared" ref="G175:P175" si="44">G176</f>
        <v>5751364</v>
      </c>
      <c r="H175" s="78">
        <f t="shared" si="44"/>
        <v>4992000</v>
      </c>
      <c r="I175" s="78">
        <f t="shared" si="44"/>
        <v>114000</v>
      </c>
      <c r="J175" s="78">
        <f t="shared" si="44"/>
        <v>2000000</v>
      </c>
      <c r="K175" s="77">
        <f t="shared" si="44"/>
        <v>60000</v>
      </c>
      <c r="L175" s="78">
        <f t="shared" si="44"/>
        <v>60000</v>
      </c>
      <c r="M175" s="78">
        <f t="shared" si="44"/>
        <v>0</v>
      </c>
      <c r="N175" s="78">
        <f t="shared" si="44"/>
        <v>0</v>
      </c>
      <c r="O175" s="78">
        <f t="shared" si="44"/>
        <v>0</v>
      </c>
      <c r="P175" s="78">
        <f t="shared" si="44"/>
        <v>60000</v>
      </c>
      <c r="Q175" s="77">
        <f t="shared" si="34"/>
        <v>14436259</v>
      </c>
      <c r="R175" s="14"/>
      <c r="T175" s="24"/>
    </row>
    <row r="176" spans="1:20" s="26" customFormat="1" ht="40.950000000000003" customHeight="1">
      <c r="A176" s="79" t="s">
        <v>203</v>
      </c>
      <c r="B176" s="107">
        <v>3710000</v>
      </c>
      <c r="C176" s="85"/>
      <c r="D176" s="86" t="str">
        <f>D175</f>
        <v>Фінансове управління міської ради</v>
      </c>
      <c r="E176" s="85"/>
      <c r="F176" s="108">
        <f>SUM(F177:F185)</f>
        <v>14376259</v>
      </c>
      <c r="G176" s="108">
        <f t="shared" ref="G176:P176" si="45">SUM(G177:G185)</f>
        <v>5751364</v>
      </c>
      <c r="H176" s="108">
        <f t="shared" si="45"/>
        <v>4992000</v>
      </c>
      <c r="I176" s="108">
        <f t="shared" si="45"/>
        <v>114000</v>
      </c>
      <c r="J176" s="108">
        <f t="shared" si="45"/>
        <v>2000000</v>
      </c>
      <c r="K176" s="108">
        <f t="shared" si="45"/>
        <v>60000</v>
      </c>
      <c r="L176" s="108">
        <f t="shared" si="45"/>
        <v>60000</v>
      </c>
      <c r="M176" s="108">
        <f t="shared" si="45"/>
        <v>0</v>
      </c>
      <c r="N176" s="108">
        <f t="shared" si="45"/>
        <v>0</v>
      </c>
      <c r="O176" s="108">
        <f t="shared" si="45"/>
        <v>0</v>
      </c>
      <c r="P176" s="108">
        <f t="shared" si="45"/>
        <v>60000</v>
      </c>
      <c r="Q176" s="87">
        <f t="shared" si="34"/>
        <v>14436259</v>
      </c>
      <c r="R176" s="14"/>
      <c r="T176" s="24"/>
    </row>
    <row r="177" spans="1:20" s="8" customFormat="1" ht="74.400000000000006" customHeight="1">
      <c r="A177" s="66" t="s">
        <v>204</v>
      </c>
      <c r="B177" s="66" t="s">
        <v>358</v>
      </c>
      <c r="C177" s="66" t="s">
        <v>61</v>
      </c>
      <c r="D177" s="117" t="s">
        <v>305</v>
      </c>
      <c r="E177" s="7" t="s">
        <v>2</v>
      </c>
      <c r="F177" s="4">
        <f>G177+J177</f>
        <v>5310512</v>
      </c>
      <c r="G177" s="4">
        <f>5063500+12+247000</f>
        <v>5310512</v>
      </c>
      <c r="H177" s="12">
        <f>4745000+247000</f>
        <v>4992000</v>
      </c>
      <c r="I177" s="12">
        <v>114000</v>
      </c>
      <c r="J177" s="12"/>
      <c r="K177" s="4">
        <f t="shared" ref="K177:K185" si="46">M177+P177</f>
        <v>10000</v>
      </c>
      <c r="L177" s="4">
        <v>10000</v>
      </c>
      <c r="M177" s="12"/>
      <c r="N177" s="4"/>
      <c r="O177" s="12"/>
      <c r="P177" s="12">
        <v>10000</v>
      </c>
      <c r="Q177" s="4">
        <f t="shared" si="34"/>
        <v>5320512</v>
      </c>
      <c r="T177" s="22"/>
    </row>
    <row r="178" spans="1:20" s="8" customFormat="1" ht="34.950000000000003" customHeight="1">
      <c r="A178" s="66" t="s">
        <v>253</v>
      </c>
      <c r="B178" s="66" t="s">
        <v>280</v>
      </c>
      <c r="C178" s="66" t="s">
        <v>72</v>
      </c>
      <c r="D178" s="117" t="s">
        <v>139</v>
      </c>
      <c r="E178" s="7"/>
      <c r="F178" s="41">
        <f>G178+J178</f>
        <v>3250</v>
      </c>
      <c r="G178" s="41">
        <f>2250+1000</f>
        <v>3250</v>
      </c>
      <c r="H178" s="12"/>
      <c r="I178" s="12"/>
      <c r="J178" s="12"/>
      <c r="K178" s="4">
        <f t="shared" si="46"/>
        <v>0</v>
      </c>
      <c r="L178" s="4"/>
      <c r="M178" s="12"/>
      <c r="N178" s="4"/>
      <c r="O178" s="12"/>
      <c r="P178" s="12"/>
      <c r="Q178" s="4">
        <f t="shared" si="34"/>
        <v>3250</v>
      </c>
      <c r="T178" s="22"/>
    </row>
    <row r="179" spans="1:20" s="8" customFormat="1" ht="44.4" customHeight="1">
      <c r="A179" s="66" t="s">
        <v>482</v>
      </c>
      <c r="B179" s="66" t="s">
        <v>465</v>
      </c>
      <c r="C179" s="66" t="s">
        <v>466</v>
      </c>
      <c r="D179" s="119" t="s">
        <v>467</v>
      </c>
      <c r="E179" s="13"/>
      <c r="F179" s="4">
        <f>G179+J179</f>
        <v>60000</v>
      </c>
      <c r="G179" s="48">
        <v>60000</v>
      </c>
      <c r="H179" s="49"/>
      <c r="I179" s="49"/>
      <c r="J179" s="49"/>
      <c r="K179" s="4">
        <f t="shared" si="46"/>
        <v>50000</v>
      </c>
      <c r="L179" s="48">
        <v>50000</v>
      </c>
      <c r="M179" s="48"/>
      <c r="N179" s="48"/>
      <c r="O179" s="49"/>
      <c r="P179" s="49">
        <v>50000</v>
      </c>
      <c r="Q179" s="4">
        <f>F179+K179</f>
        <v>110000</v>
      </c>
      <c r="T179" s="22"/>
    </row>
    <row r="180" spans="1:20" s="8" customFormat="1" ht="32.25" hidden="1" customHeight="1">
      <c r="A180" s="66" t="s">
        <v>336</v>
      </c>
      <c r="B180" s="66" t="s">
        <v>457</v>
      </c>
      <c r="C180" s="66" t="s">
        <v>280</v>
      </c>
      <c r="D180" s="117" t="s">
        <v>337</v>
      </c>
      <c r="E180" s="7"/>
      <c r="F180" s="41">
        <f>G180+J180</f>
        <v>0</v>
      </c>
      <c r="G180" s="41"/>
      <c r="H180" s="12"/>
      <c r="I180" s="12"/>
      <c r="J180" s="56"/>
      <c r="K180" s="4"/>
      <c r="L180" s="4"/>
      <c r="M180" s="12"/>
      <c r="N180" s="4"/>
      <c r="O180" s="12"/>
      <c r="P180" s="12"/>
      <c r="Q180" s="4">
        <f t="shared" si="34"/>
        <v>0</v>
      </c>
      <c r="T180" s="22"/>
    </row>
    <row r="181" spans="1:20" s="8" customFormat="1" ht="39" customHeight="1">
      <c r="A181" s="66" t="s">
        <v>315</v>
      </c>
      <c r="B181" s="66" t="s">
        <v>458</v>
      </c>
      <c r="C181" s="66" t="s">
        <v>316</v>
      </c>
      <c r="D181" s="117" t="s">
        <v>317</v>
      </c>
      <c r="E181" s="7"/>
      <c r="F181" s="4">
        <f>G181+J181</f>
        <v>277602</v>
      </c>
      <c r="G181" s="4">
        <v>277602</v>
      </c>
      <c r="H181" s="12"/>
      <c r="I181" s="12"/>
      <c r="J181" s="12"/>
      <c r="K181" s="4">
        <f t="shared" si="46"/>
        <v>0</v>
      </c>
      <c r="L181" s="4"/>
      <c r="M181" s="12"/>
      <c r="N181" s="4"/>
      <c r="O181" s="12"/>
      <c r="P181" s="12"/>
      <c r="Q181" s="4">
        <f t="shared" si="34"/>
        <v>277602</v>
      </c>
      <c r="T181" s="22"/>
    </row>
    <row r="182" spans="1:20" s="8" customFormat="1" ht="39" customHeight="1">
      <c r="A182" s="66" t="s">
        <v>205</v>
      </c>
      <c r="B182" s="66" t="s">
        <v>459</v>
      </c>
      <c r="C182" s="66" t="s">
        <v>72</v>
      </c>
      <c r="D182" s="117" t="s">
        <v>92</v>
      </c>
      <c r="E182" s="7"/>
      <c r="F182" s="41">
        <f>2828295+3666706+4383689+100000-3000000-211500-2828295+986000+700000</f>
        <v>6624895</v>
      </c>
      <c r="G182" s="4"/>
      <c r="H182" s="12"/>
      <c r="I182" s="12"/>
      <c r="J182" s="12"/>
      <c r="K182" s="4">
        <f t="shared" si="46"/>
        <v>0</v>
      </c>
      <c r="L182" s="4"/>
      <c r="M182" s="12"/>
      <c r="N182" s="4"/>
      <c r="O182" s="12"/>
      <c r="P182" s="12"/>
      <c r="Q182" s="41">
        <f>F182+K182</f>
        <v>6624895</v>
      </c>
      <c r="T182" s="22"/>
    </row>
    <row r="183" spans="1:20" s="8" customFormat="1" ht="22.5" hidden="1" customHeight="1">
      <c r="A183" s="66" t="s">
        <v>286</v>
      </c>
      <c r="B183" s="66" t="s">
        <v>460</v>
      </c>
      <c r="C183" s="66" t="s">
        <v>280</v>
      </c>
      <c r="D183" s="36" t="s">
        <v>287</v>
      </c>
      <c r="E183" s="7"/>
      <c r="F183" s="4">
        <f>G183+J183</f>
        <v>0</v>
      </c>
      <c r="G183" s="4"/>
      <c r="H183" s="12"/>
      <c r="I183" s="12"/>
      <c r="J183" s="56"/>
      <c r="K183" s="4">
        <f t="shared" si="46"/>
        <v>0</v>
      </c>
      <c r="L183" s="4"/>
      <c r="M183" s="12"/>
      <c r="N183" s="4"/>
      <c r="O183" s="12"/>
      <c r="P183" s="12"/>
      <c r="Q183" s="4">
        <f t="shared" si="34"/>
        <v>0</v>
      </c>
      <c r="T183" s="22"/>
    </row>
    <row r="184" spans="1:20" s="8" customFormat="1" ht="36.6" customHeight="1">
      <c r="A184" s="66" t="s">
        <v>286</v>
      </c>
      <c r="B184" s="66" t="s">
        <v>460</v>
      </c>
      <c r="C184" s="66" t="s">
        <v>280</v>
      </c>
      <c r="D184" s="36" t="s">
        <v>287</v>
      </c>
      <c r="E184" s="7"/>
      <c r="F184" s="4">
        <f>G184+J184</f>
        <v>2000000</v>
      </c>
      <c r="G184" s="4"/>
      <c r="H184" s="12"/>
      <c r="I184" s="12"/>
      <c r="J184" s="12">
        <v>2000000</v>
      </c>
      <c r="K184" s="4"/>
      <c r="L184" s="4"/>
      <c r="M184" s="12"/>
      <c r="N184" s="4"/>
      <c r="O184" s="12"/>
      <c r="P184" s="12"/>
      <c r="Q184" s="4"/>
      <c r="T184" s="22"/>
    </row>
    <row r="185" spans="1:20" s="8" customFormat="1" ht="75.599999999999994" customHeight="1">
      <c r="A185" s="66" t="s">
        <v>281</v>
      </c>
      <c r="B185" s="66" t="s">
        <v>461</v>
      </c>
      <c r="C185" s="66" t="s">
        <v>280</v>
      </c>
      <c r="D185" s="117" t="s">
        <v>282</v>
      </c>
      <c r="E185" s="7"/>
      <c r="F185" s="4">
        <f>G185+J185</f>
        <v>100000</v>
      </c>
      <c r="G185" s="4">
        <v>100000</v>
      </c>
      <c r="H185" s="12"/>
      <c r="I185" s="12"/>
      <c r="J185" s="12"/>
      <c r="K185" s="4">
        <f t="shared" si="46"/>
        <v>0</v>
      </c>
      <c r="L185" s="4"/>
      <c r="M185" s="12"/>
      <c r="N185" s="4"/>
      <c r="O185" s="12"/>
      <c r="P185" s="12"/>
      <c r="Q185" s="4">
        <f t="shared" si="34"/>
        <v>100000</v>
      </c>
      <c r="T185" s="22"/>
    </row>
    <row r="186" spans="1:20" s="15" customFormat="1" ht="51" customHeight="1">
      <c r="A186" s="109"/>
      <c r="B186" s="109"/>
      <c r="C186" s="109"/>
      <c r="D186" s="110" t="s">
        <v>206</v>
      </c>
      <c r="E186" s="109" t="s">
        <v>13</v>
      </c>
      <c r="F186" s="77">
        <f>F11+F47+F109+F121+F131+F175+F67+F167</f>
        <v>402231448.15999997</v>
      </c>
      <c r="G186" s="77">
        <f>G11+G47+G109+G121+G131+G175+G67+G167</f>
        <v>383505953.15999997</v>
      </c>
      <c r="H186" s="77">
        <f>H11+H47+H109+H121+H131+H175+H67+H167</f>
        <v>249866536.41</v>
      </c>
      <c r="I186" s="77">
        <f>I11+I47+I109+I121+I131+I175+I67+I167</f>
        <v>35680580</v>
      </c>
      <c r="J186" s="78">
        <f>J11+J47+J109+J121+J131+J175+J67</f>
        <v>12100600</v>
      </c>
      <c r="K186" s="77">
        <f>K11+K47+K109+K121+K131+K175+K67+K167</f>
        <v>93664289.879999995</v>
      </c>
      <c r="L186" s="77">
        <f>L11+L47+L109+L121+L131+L175+L67+L167</f>
        <v>82581812.75999999</v>
      </c>
      <c r="M186" s="77">
        <f>M11+M47+M109+M121+M131+M175+M67+M167</f>
        <v>10612477.119999999</v>
      </c>
      <c r="N186" s="78">
        <f>N11+N47+N109+N121+N131+N175+N67</f>
        <v>578050</v>
      </c>
      <c r="O186" s="78">
        <f>O11+O47+O109+O121+O131+O175+O67</f>
        <v>296300</v>
      </c>
      <c r="P186" s="77">
        <f>P11+P47+P109+P121+P131+P175+P67+P167</f>
        <v>83051812.75999999</v>
      </c>
      <c r="Q186" s="77">
        <f t="shared" si="34"/>
        <v>495895738.03999996</v>
      </c>
      <c r="R186" s="61"/>
      <c r="S186" s="16"/>
      <c r="T186" s="17"/>
    </row>
    <row r="187" spans="1:20" s="14" customFormat="1" ht="34.5" customHeight="1">
      <c r="A187" s="111"/>
      <c r="B187" s="111"/>
      <c r="C187" s="111"/>
      <c r="D187" s="112"/>
      <c r="E187" s="111"/>
      <c r="F187" s="113"/>
      <c r="G187" s="113"/>
      <c r="H187" s="113"/>
      <c r="I187" s="113"/>
      <c r="J187" s="114"/>
      <c r="K187" s="113"/>
      <c r="L187" s="113"/>
      <c r="M187" s="113"/>
      <c r="N187" s="114"/>
      <c r="O187" s="114"/>
      <c r="P187" s="113"/>
      <c r="Q187" s="113"/>
      <c r="R187" s="115"/>
      <c r="S187" s="116"/>
      <c r="T187" s="18"/>
    </row>
    <row r="188" spans="1:20" s="14" customFormat="1" ht="57" customHeight="1">
      <c r="A188" s="131" t="s">
        <v>503</v>
      </c>
      <c r="B188" s="131"/>
      <c r="C188" s="131"/>
      <c r="D188" s="131"/>
      <c r="E188" s="131"/>
      <c r="F188" s="131"/>
      <c r="G188" s="131"/>
      <c r="H188" s="131"/>
      <c r="I188" s="131"/>
      <c r="J188" s="131"/>
      <c r="K188" s="131"/>
      <c r="L188" s="131"/>
      <c r="M188" s="131"/>
      <c r="N188" s="131"/>
      <c r="O188" s="131"/>
      <c r="P188" s="131"/>
      <c r="Q188" s="131"/>
      <c r="T188" s="18"/>
    </row>
    <row r="189" spans="1:20" s="31" customFormat="1" ht="21.75" customHeight="1">
      <c r="A189" s="131"/>
      <c r="B189" s="131"/>
      <c r="C189" s="131"/>
      <c r="D189" s="131"/>
      <c r="E189" s="131"/>
      <c r="F189" s="131"/>
      <c r="G189" s="131"/>
      <c r="H189" s="131"/>
      <c r="I189" s="131"/>
      <c r="J189" s="131"/>
      <c r="K189" s="131"/>
      <c r="L189" s="131"/>
      <c r="M189" s="131"/>
      <c r="N189" s="131"/>
      <c r="O189" s="131"/>
      <c r="P189" s="131"/>
      <c r="Q189" s="131"/>
      <c r="T189" s="32"/>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88:Q189"/>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2020-02-24T06:15:22Z</cp:lastPrinted>
  <dcterms:created xsi:type="dcterms:W3CDTF">2002-10-09T16:25:59Z</dcterms:created>
  <dcterms:modified xsi:type="dcterms:W3CDTF">2020-02-24T08:18:08Z</dcterms:modified>
</cp:coreProperties>
</file>